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perador\Desktop\Contrataciones\Pavimento San Rafael\"/>
    </mc:Choice>
  </mc:AlternateContent>
  <xr:revisionPtr revIDLastSave="0" documentId="8_{846E7DA2-B470-4CC4-82C4-B0655175BD19}" xr6:coauthVersionLast="47" xr6:coauthVersionMax="47" xr10:uidLastSave="{00000000-0000-0000-0000-000000000000}"/>
  <bookViews>
    <workbookView xWindow="-120" yWindow="-120" windowWidth="29040" windowHeight="15840" tabRatio="765" firstSheet="1" activeTab="2" xr2:uid="{00000000-000D-0000-FFFF-FFFF00000000}"/>
  </bookViews>
  <sheets>
    <sheet name="CyP" sheetId="40" state="hidden" r:id="rId1"/>
    <sheet name="COMPUTO METRICO" sheetId="42" r:id="rId2"/>
    <sheet name="Presupuesto" sheetId="44" r:id="rId3"/>
    <sheet name="HORMIGON" sheetId="34" state="hidden" r:id="rId4"/>
    <sheet name="ADOQUIN" sheetId="31" state="hidden" r:id="rId5"/>
    <sheet name="ENRIPIADO - ENERO 2013 " sheetId="32" state="hidden" r:id="rId6"/>
    <sheet name="IN-12-11" sheetId="29" state="hidden" r:id="rId7"/>
    <sheet name="Equipos" sheetId="14" state="hidden" r:id="rId8"/>
    <sheet name="K" sheetId="13" state="hidden" r:id="rId9"/>
    <sheet name="Hoja2" sheetId="20" state="hidden" r:id="rId10"/>
    <sheet name="Hoja1" sheetId="23" state="hidden" r:id="rId11"/>
  </sheets>
  <externalReferences>
    <externalReference r:id="rId12"/>
    <externalReference r:id="rId13"/>
  </externalReferences>
  <definedNames>
    <definedName name="_xlnm._FilterDatabase" localSheetId="6" hidden="1">'IN-12-11'!$A$5:$D$442</definedName>
    <definedName name="_Key1" hidden="1">'IN-12-11'!$A$7</definedName>
    <definedName name="_Order1" hidden="1">255</definedName>
    <definedName name="_Regression_Int" localSheetId="6" hidden="1">1</definedName>
    <definedName name="_Sort" hidden="1">'IN-12-11'!$A$6:$E$8</definedName>
    <definedName name="a" localSheetId="2">'[1]Mov. Tierra'!#REF!</definedName>
    <definedName name="a">'[1]Mov. Tierra'!#REF!</definedName>
    <definedName name="_xlnm.Print_Area" localSheetId="4">ADOQUIN!$A$21:$H$52</definedName>
    <definedName name="_xlnm.Print_Area" localSheetId="5">'ENRIPIADO - ENERO 2013 '!$A$20:$H$54</definedName>
    <definedName name="_xlnm.Print_Area" localSheetId="3">HORMIGON!$A$21:$H$51</definedName>
    <definedName name="_xlnm.Print_Area" localSheetId="6">'IN-12-11'!$A$1:$G$441</definedName>
    <definedName name="aserradora">[2]Equipos!$Q$17</definedName>
    <definedName name="blanco" localSheetId="2">'[1]Red de Cloaca'!#REF!</definedName>
    <definedName name="blanco">'[1]Red de Cloaca'!#REF!</definedName>
    <definedName name="bomba">[2]Equipos!$Q$18</definedName>
    <definedName name="camionacopl">[2]Equipos!$Q$19</definedName>
    <definedName name="camionford">[2]Equipos!$Q$7</definedName>
    <definedName name="CODIGO">'IN-12-11'!$A$6:$A$238</definedName>
    <definedName name="DESCRIPCION">'IN-12-11'!$B$6:$B$238</definedName>
    <definedName name="dfor_0.06.05.F" localSheetId="4">'[1]Mov. Tierra'!#REF!</definedName>
    <definedName name="dfor_0.06.05.F" localSheetId="5">'[1]Mov. Tierra'!#REF!</definedName>
    <definedName name="dfor_0.06.05.F" localSheetId="3">'[1]Mov. Tierra'!#REF!</definedName>
    <definedName name="dfor_0.06.05.F" localSheetId="2">'[1]Mov. Tierra'!#REF!</definedName>
    <definedName name="dfor_0.06.05.F">'[1]Mov. Tierra'!#REF!</definedName>
    <definedName name="dfor_1.10.03.F" localSheetId="4">'[1]Red de Agua'!#REF!</definedName>
    <definedName name="dfor_1.10.03.F" localSheetId="5">'[1]Red de Agua'!#REF!</definedName>
    <definedName name="dfor_1.10.03.F" localSheetId="3">'[1]Red de Agua'!#REF!</definedName>
    <definedName name="dfor_1.10.03.F" localSheetId="2">'[1]Red de Agua'!#REF!</definedName>
    <definedName name="dfor_1.10.03.F">'[1]Red de Agua'!#REF!</definedName>
    <definedName name="dfor_1.10.50.A" localSheetId="4">'[1]Red de Agua'!#REF!</definedName>
    <definedName name="dfor_1.10.50.A" localSheetId="5">'[1]Red de Agua'!#REF!</definedName>
    <definedName name="dfor_1.10.50.A" localSheetId="3">'[1]Red de Agua'!#REF!</definedName>
    <definedName name="dfor_1.10.50.A" localSheetId="2">'[1]Red de Agua'!#REF!</definedName>
    <definedName name="dfor_1.10.50.A">'[1]Red de Agua'!#REF!</definedName>
    <definedName name="dfor_1.10.50.B" localSheetId="4">'[1]Red de Agua'!#REF!</definedName>
    <definedName name="dfor_1.10.50.B" localSheetId="5">'[1]Red de Agua'!#REF!</definedName>
    <definedName name="dfor_1.10.50.B" localSheetId="3">'[1]Red de Agua'!#REF!</definedName>
    <definedName name="dfor_1.10.50.B" localSheetId="2">'[1]Red de Agua'!#REF!</definedName>
    <definedName name="dfor_1.10.50.B">'[1]Red de Agua'!#REF!</definedName>
    <definedName name="dfor_1.20.00.A" localSheetId="4">'[1]Red de Cloaca'!#REF!</definedName>
    <definedName name="dfor_1.20.00.A" localSheetId="5">'[1]Red de Cloaca'!#REF!</definedName>
    <definedName name="dfor_1.20.00.A" localSheetId="3">'[1]Red de Cloaca'!#REF!</definedName>
    <definedName name="dfor_1.20.00.A" localSheetId="2">'[1]Red de Cloaca'!#REF!</definedName>
    <definedName name="dfor_1.20.00.A">'[1]Red de Cloaca'!#REF!</definedName>
    <definedName name="dfor_1.20.00.B" localSheetId="4">'[1]Red de Cloaca'!#REF!</definedName>
    <definedName name="dfor_1.20.00.B" localSheetId="5">'[1]Red de Cloaca'!#REF!</definedName>
    <definedName name="dfor_1.20.00.B" localSheetId="3">'[1]Red de Cloaca'!#REF!</definedName>
    <definedName name="dfor_1.20.00.B" localSheetId="2">'[1]Red de Cloaca'!#REF!</definedName>
    <definedName name="dfor_1.20.00.B">'[1]Red de Cloaca'!#REF!</definedName>
    <definedName name="dfor_1.20.50.A" localSheetId="4">'[1]Red de Cloaca'!#REF!</definedName>
    <definedName name="dfor_1.20.50.A" localSheetId="5">'[1]Red de Cloaca'!#REF!</definedName>
    <definedName name="dfor_1.20.50.A" localSheetId="3">'[1]Red de Cloaca'!#REF!</definedName>
    <definedName name="dfor_1.20.50.A" localSheetId="2">'[1]Red de Cloaca'!#REF!</definedName>
    <definedName name="dfor_1.20.50.A">'[1]Red de Cloaca'!#REF!</definedName>
    <definedName name="dfor_1.20.50.B" localSheetId="4">'[1]Red de Cloaca'!#REF!</definedName>
    <definedName name="dfor_1.20.50.B" localSheetId="5">'[1]Red de Cloaca'!#REF!</definedName>
    <definedName name="dfor_1.20.50.B" localSheetId="3">'[1]Red de Cloaca'!#REF!</definedName>
    <definedName name="dfor_1.20.50.B" localSheetId="2">'[1]Red de Cloaca'!#REF!</definedName>
    <definedName name="dfor_1.20.50.B">'[1]Red de Cloaca'!#REF!</definedName>
    <definedName name="dfor_1.40.00.A" localSheetId="4">'[1]Red de Gas'!#REF!</definedName>
    <definedName name="dfor_1.40.00.A" localSheetId="5">'[1]Red de Gas'!#REF!</definedName>
    <definedName name="dfor_1.40.00.A" localSheetId="3">'[1]Red de Gas'!#REF!</definedName>
    <definedName name="dfor_1.40.00.A" localSheetId="2">'[1]Red de Gas'!#REF!</definedName>
    <definedName name="dfor_1.40.00.A">'[1]Red de Gas'!#REF!</definedName>
    <definedName name="Equipos" localSheetId="7">#REF!</definedName>
    <definedName name="Fecha">'IN-12-11'!$D$3</definedName>
    <definedName name="for_0.06.05.F" localSheetId="4">'[1]Mov. Tierra'!#REF!</definedName>
    <definedName name="for_0.06.05.F" localSheetId="5">'[1]Mov. Tierra'!#REF!</definedName>
    <definedName name="for_0.06.05.F" localSheetId="3">'[1]Mov. Tierra'!#REF!</definedName>
    <definedName name="for_0.06.05.F" localSheetId="2">'[1]Mov. Tierra'!#REF!</definedName>
    <definedName name="for_0.06.05.F">'[1]Mov. Tierra'!#REF!</definedName>
    <definedName name="for_1.10.03.F" localSheetId="4">'[1]Red de Agua'!#REF!</definedName>
    <definedName name="for_1.10.03.F" localSheetId="5">'[1]Red de Agua'!#REF!</definedName>
    <definedName name="for_1.10.03.F" localSheetId="3">'[1]Red de Agua'!#REF!</definedName>
    <definedName name="for_1.10.03.F" localSheetId="2">'[1]Red de Agua'!#REF!</definedName>
    <definedName name="for_1.10.03.F">'[1]Red de Agua'!#REF!</definedName>
    <definedName name="for_1.10.50.A" localSheetId="4">'[1]Red de Agua'!#REF!</definedName>
    <definedName name="for_1.10.50.A" localSheetId="5">'[1]Red de Agua'!#REF!</definedName>
    <definedName name="for_1.10.50.A" localSheetId="3">'[1]Red de Agua'!#REF!</definedName>
    <definedName name="for_1.10.50.A" localSheetId="2">'[1]Red de Agua'!#REF!</definedName>
    <definedName name="for_1.10.50.A">'[1]Red de Agua'!#REF!</definedName>
    <definedName name="for_1.10.50.B" localSheetId="4">'[1]Red de Agua'!#REF!</definedName>
    <definedName name="for_1.10.50.B" localSheetId="5">'[1]Red de Agua'!#REF!</definedName>
    <definedName name="for_1.10.50.B" localSheetId="3">'[1]Red de Agua'!#REF!</definedName>
    <definedName name="for_1.10.50.B" localSheetId="2">'[1]Red de Agua'!#REF!</definedName>
    <definedName name="for_1.10.50.B">'[1]Red de Agua'!#REF!</definedName>
    <definedName name="for_1.20.00.A" localSheetId="4">'[1]Red de Cloaca'!#REF!</definedName>
    <definedName name="for_1.20.00.A" localSheetId="5">'[1]Red de Cloaca'!#REF!</definedName>
    <definedName name="for_1.20.00.A" localSheetId="3">'[1]Red de Cloaca'!#REF!</definedName>
    <definedName name="for_1.20.00.A" localSheetId="2">'[1]Red de Cloaca'!#REF!</definedName>
    <definedName name="for_1.20.00.A">'[1]Red de Cloaca'!#REF!</definedName>
    <definedName name="for_1.20.00.B" localSheetId="4">'[1]Red de Cloaca'!#REF!</definedName>
    <definedName name="for_1.20.00.B" localSheetId="5">'[1]Red de Cloaca'!#REF!</definedName>
    <definedName name="for_1.20.00.B" localSheetId="3">'[1]Red de Cloaca'!#REF!</definedName>
    <definedName name="for_1.20.00.B" localSheetId="2">'[1]Red de Cloaca'!#REF!</definedName>
    <definedName name="for_1.20.00.B">'[1]Red de Cloaca'!#REF!</definedName>
    <definedName name="for_1.20.50.A" localSheetId="4">'[1]Red de Cloaca'!#REF!</definedName>
    <definedName name="for_1.20.50.A" localSheetId="5">'[1]Red de Cloaca'!#REF!</definedName>
    <definedName name="for_1.20.50.A" localSheetId="3">'[1]Red de Cloaca'!#REF!</definedName>
    <definedName name="for_1.20.50.A" localSheetId="2">'[1]Red de Cloaca'!#REF!</definedName>
    <definedName name="for_1.20.50.A">'[1]Red de Cloaca'!#REF!</definedName>
    <definedName name="for_1.20.50.B" localSheetId="4">'[1]Red de Cloaca'!#REF!</definedName>
    <definedName name="for_1.20.50.B" localSheetId="5">'[1]Red de Cloaca'!#REF!</definedName>
    <definedName name="for_1.20.50.B" localSheetId="3">'[1]Red de Cloaca'!#REF!</definedName>
    <definedName name="for_1.20.50.B" localSheetId="2">'[1]Red de Cloaca'!#REF!</definedName>
    <definedName name="for_1.20.50.B">'[1]Red de Cloaca'!#REF!</definedName>
    <definedName name="for_1.40.00.A" localSheetId="4">'[1]Red de Gas'!#REF!</definedName>
    <definedName name="for_1.40.00.A" localSheetId="5">'[1]Red de Gas'!#REF!</definedName>
    <definedName name="for_1.40.00.A" localSheetId="3">'[1]Red de Gas'!#REF!</definedName>
    <definedName name="for_1.40.00.A" localSheetId="2">'[1]Red de Gas'!#REF!</definedName>
    <definedName name="for_1.40.00.A">'[1]Red de Gas'!#REF!</definedName>
    <definedName name="grua">[1]Equipos!$Q$16</definedName>
    <definedName name="Imprimir_títulos_IM" localSheetId="6">'IN-12-11'!$1:$5</definedName>
    <definedName name="Insumos">'IN-12-11'!$A$5:$D$441</definedName>
    <definedName name="planchavib">[2]Equipos!$Q$20</definedName>
    <definedName name="PRECIO">'IN-12-11'!$E$6:$E$238</definedName>
    <definedName name="reglavib">[2]Equipos!$Q$21</definedName>
    <definedName name="rfor_0.06.05.F" localSheetId="4">'[1]Mov. Tierra'!#REF!</definedName>
    <definedName name="rfor_0.06.05.F" localSheetId="5">'[1]Mov. Tierra'!#REF!</definedName>
    <definedName name="rfor_0.06.05.F" localSheetId="3">'[1]Mov. Tierra'!#REF!</definedName>
    <definedName name="rfor_0.06.05.F" localSheetId="2">'[1]Mov. Tierra'!#REF!</definedName>
    <definedName name="rfor_0.06.05.F">'[1]Mov. Tierra'!#REF!</definedName>
    <definedName name="rfor_1.10.03.F" localSheetId="4">'[1]Red de Agua'!#REF!</definedName>
    <definedName name="rfor_1.10.03.F" localSheetId="5">'[1]Red de Agua'!#REF!</definedName>
    <definedName name="rfor_1.10.03.F" localSheetId="3">'[1]Red de Agua'!#REF!</definedName>
    <definedName name="rfor_1.10.03.F" localSheetId="2">'[1]Red de Agua'!#REF!</definedName>
    <definedName name="rfor_1.10.03.F">'[1]Red de Agua'!#REF!</definedName>
    <definedName name="rfor_1.10.50.A" localSheetId="4">'[1]Red de Agua'!#REF!</definedName>
    <definedName name="rfor_1.10.50.A" localSheetId="5">'[1]Red de Agua'!#REF!</definedName>
    <definedName name="rfor_1.10.50.A" localSheetId="3">'[1]Red de Agua'!#REF!</definedName>
    <definedName name="rfor_1.10.50.A" localSheetId="2">'[1]Red de Agua'!#REF!</definedName>
    <definedName name="rfor_1.10.50.A">'[1]Red de Agua'!#REF!</definedName>
    <definedName name="rfor_1.10.50.B" localSheetId="4">'[1]Red de Agua'!#REF!</definedName>
    <definedName name="rfor_1.10.50.B" localSheetId="5">'[1]Red de Agua'!#REF!</definedName>
    <definedName name="rfor_1.10.50.B" localSheetId="3">'[1]Red de Agua'!#REF!</definedName>
    <definedName name="rfor_1.10.50.B" localSheetId="2">'[1]Red de Agua'!#REF!</definedName>
    <definedName name="rfor_1.10.50.B">'[1]Red de Agua'!#REF!</definedName>
    <definedName name="rfor_1.20.00.A" localSheetId="4">'[1]Red de Cloaca'!#REF!</definedName>
    <definedName name="rfor_1.20.00.A" localSheetId="5">'[1]Red de Cloaca'!#REF!</definedName>
    <definedName name="rfor_1.20.00.A" localSheetId="3">'[1]Red de Cloaca'!#REF!</definedName>
    <definedName name="rfor_1.20.00.A" localSheetId="2">'[1]Red de Cloaca'!#REF!</definedName>
    <definedName name="rfor_1.20.00.A">'[1]Red de Cloaca'!#REF!</definedName>
    <definedName name="rfor_1.20.00.B" localSheetId="4">'[1]Red de Cloaca'!#REF!</definedName>
    <definedName name="rfor_1.20.00.B" localSheetId="5">'[1]Red de Cloaca'!#REF!</definedName>
    <definedName name="rfor_1.20.00.B" localSheetId="3">'[1]Red de Cloaca'!#REF!</definedName>
    <definedName name="rfor_1.20.00.B" localSheetId="2">'[1]Red de Cloaca'!#REF!</definedName>
    <definedName name="rfor_1.20.00.B">'[1]Red de Cloaca'!#REF!</definedName>
    <definedName name="rfor_1.20.50.A" localSheetId="4">'[1]Red de Cloaca'!#REF!</definedName>
    <definedName name="rfor_1.20.50.A" localSheetId="5">'[1]Red de Cloaca'!#REF!</definedName>
    <definedName name="rfor_1.20.50.A" localSheetId="3">'[1]Red de Cloaca'!#REF!</definedName>
    <definedName name="rfor_1.20.50.A" localSheetId="2">'[1]Red de Cloaca'!#REF!</definedName>
    <definedName name="rfor_1.20.50.A">'[1]Red de Cloaca'!#REF!</definedName>
    <definedName name="rfor_1.20.50.B" localSheetId="4">'[1]Red de Cloaca'!#REF!</definedName>
    <definedName name="rfor_1.20.50.B" localSheetId="5">'[1]Red de Cloaca'!#REF!</definedName>
    <definedName name="rfor_1.20.50.B" localSheetId="3">'[1]Red de Cloaca'!#REF!</definedName>
    <definedName name="rfor_1.20.50.B" localSheetId="2">'[1]Red de Cloaca'!#REF!</definedName>
    <definedName name="rfor_1.20.50.B">'[1]Red de Cloaca'!#REF!</definedName>
    <definedName name="rfor_1.40.00.A" localSheetId="4">'[1]Red de Gas'!#REF!</definedName>
    <definedName name="rfor_1.40.00.A" localSheetId="5">'[1]Red de Gas'!#REF!</definedName>
    <definedName name="rfor_1.40.00.A" localSheetId="3">'[1]Red de Gas'!#REF!</definedName>
    <definedName name="rfor_1.40.00.A" localSheetId="2">'[1]Red de Gas'!#REF!</definedName>
    <definedName name="rfor_1.40.00.A">'[1]Red de Gas'!#REF!</definedName>
    <definedName name="rodillodetiro">[2]Equipos!$Q$22</definedName>
    <definedName name="rodillopatacabraarr">[2]Equipos!$Q$23</definedName>
    <definedName name="rodillovibrarrast">[2]Equipos!$Q$24</definedName>
    <definedName name="tanqueacoplado">[2]Equipos!$Q$25</definedName>
    <definedName name="_xlnm.Print_Titles" localSheetId="6">'IN-12-11'!$1:$5</definedName>
    <definedName name="tractorengom">[2]Equipos!$Q$26</definedName>
    <definedName name="ufor_0.06.05.F" localSheetId="4">'[1]Mov. Tierra'!#REF!</definedName>
    <definedName name="ufor_0.06.05.F" localSheetId="5">'[1]Mov. Tierra'!#REF!</definedName>
    <definedName name="ufor_0.06.05.F" localSheetId="3">'[1]Mov. Tierra'!#REF!</definedName>
    <definedName name="ufor_0.06.05.F" localSheetId="2">'[1]Mov. Tierra'!#REF!</definedName>
    <definedName name="ufor_0.06.05.F">'[1]Mov. Tierra'!#REF!</definedName>
    <definedName name="ufor_1.10.03.F" localSheetId="4">'[1]Red de Agua'!#REF!</definedName>
    <definedName name="ufor_1.10.03.F" localSheetId="5">'[1]Red de Agua'!#REF!</definedName>
    <definedName name="ufor_1.10.03.F" localSheetId="3">'[1]Red de Agua'!#REF!</definedName>
    <definedName name="ufor_1.10.03.F" localSheetId="2">'[1]Red de Agua'!#REF!</definedName>
    <definedName name="ufor_1.10.03.F">'[1]Red de Agua'!#REF!</definedName>
    <definedName name="ufor_1.10.50.A" localSheetId="4">'[1]Red de Agua'!#REF!</definedName>
    <definedName name="ufor_1.10.50.A" localSheetId="5">'[1]Red de Agua'!#REF!</definedName>
    <definedName name="ufor_1.10.50.A" localSheetId="3">'[1]Red de Agua'!#REF!</definedName>
    <definedName name="ufor_1.10.50.A" localSheetId="2">'[1]Red de Agua'!#REF!</definedName>
    <definedName name="ufor_1.10.50.A">'[1]Red de Agua'!#REF!</definedName>
    <definedName name="ufor_1.10.50.B" localSheetId="4">'[1]Red de Agua'!#REF!</definedName>
    <definedName name="ufor_1.10.50.B" localSheetId="5">'[1]Red de Agua'!#REF!</definedName>
    <definedName name="ufor_1.10.50.B" localSheetId="3">'[1]Red de Agua'!#REF!</definedName>
    <definedName name="ufor_1.10.50.B" localSheetId="2">'[1]Red de Agua'!#REF!</definedName>
    <definedName name="ufor_1.10.50.B">'[1]Red de Agua'!#REF!</definedName>
    <definedName name="ufor_1.20.00.A" localSheetId="4">'[1]Red de Cloaca'!#REF!</definedName>
    <definedName name="ufor_1.20.00.A" localSheetId="5">'[1]Red de Cloaca'!#REF!</definedName>
    <definedName name="ufor_1.20.00.A" localSheetId="3">'[1]Red de Cloaca'!#REF!</definedName>
    <definedName name="ufor_1.20.00.A" localSheetId="2">'[1]Red de Cloaca'!#REF!</definedName>
    <definedName name="ufor_1.20.00.A">'[1]Red de Cloaca'!#REF!</definedName>
    <definedName name="ufor_1.20.00.B" localSheetId="4">'[1]Red de Cloaca'!#REF!</definedName>
    <definedName name="ufor_1.20.00.B" localSheetId="5">'[1]Red de Cloaca'!#REF!</definedName>
    <definedName name="ufor_1.20.00.B" localSheetId="3">'[1]Red de Cloaca'!#REF!</definedName>
    <definedName name="ufor_1.20.00.B" localSheetId="2">'[1]Red de Cloaca'!#REF!</definedName>
    <definedName name="ufor_1.20.00.B">'[1]Red de Cloaca'!#REF!</definedName>
    <definedName name="ufor_1.20.50.A" localSheetId="4">'[1]Red de Cloaca'!#REF!</definedName>
    <definedName name="ufor_1.20.50.A" localSheetId="5">'[1]Red de Cloaca'!#REF!</definedName>
    <definedName name="ufor_1.20.50.A" localSheetId="3">'[1]Red de Cloaca'!#REF!</definedName>
    <definedName name="ufor_1.20.50.A" localSheetId="2">'[1]Red de Cloaca'!#REF!</definedName>
    <definedName name="ufor_1.20.50.A">'[1]Red de Cloaca'!#REF!</definedName>
    <definedName name="ufor_1.20.50.B" localSheetId="4">'[1]Red de Cloaca'!#REF!</definedName>
    <definedName name="ufor_1.20.50.B" localSheetId="5">'[1]Red de Cloaca'!#REF!</definedName>
    <definedName name="ufor_1.20.50.B" localSheetId="3">'[1]Red de Cloaca'!#REF!</definedName>
    <definedName name="ufor_1.20.50.B" localSheetId="2">'[1]Red de Cloaca'!#REF!</definedName>
    <definedName name="ufor_1.20.50.B">'[1]Red de Cloaca'!#REF!</definedName>
    <definedName name="ufor_1.40.00.A" localSheetId="4">'[1]Red de Gas'!#REF!</definedName>
    <definedName name="ufor_1.40.00.A" localSheetId="5">'[1]Red de Gas'!#REF!</definedName>
    <definedName name="ufor_1.40.00.A" localSheetId="3">'[1]Red de Gas'!#REF!</definedName>
    <definedName name="ufor_1.40.00.A" localSheetId="2">'[1]Red de Gas'!#REF!</definedName>
    <definedName name="ufor_1.40.00.A">'[1]Red de Gas'!#REF!</definedName>
    <definedName name="UN.">'IN-12-11'!$C$6:$C$238</definedName>
    <definedName name="vfor_0.06.05.F" localSheetId="4">'[1]Mov. Tierra'!#REF!</definedName>
    <definedName name="vfor_0.06.05.F" localSheetId="5">'[1]Mov. Tierra'!#REF!</definedName>
    <definedName name="vfor_0.06.05.F" localSheetId="3">'[1]Mov. Tierra'!#REF!</definedName>
    <definedName name="vfor_0.06.05.F" localSheetId="2">'[1]Mov. Tierra'!#REF!</definedName>
    <definedName name="vfor_0.06.05.F">'[1]Mov. Tierra'!#REF!</definedName>
    <definedName name="vfor_0.18.26.F">'[1]Cerram ext int'!$F$99</definedName>
    <definedName name="vfor_1.10.03.F" localSheetId="4">'[1]Red de Agua'!#REF!</definedName>
    <definedName name="vfor_1.10.03.F" localSheetId="5">'[1]Red de Agua'!#REF!</definedName>
    <definedName name="vfor_1.10.03.F" localSheetId="3">'[1]Red de Agua'!#REF!</definedName>
    <definedName name="vfor_1.10.03.F" localSheetId="2">'[1]Red de Agua'!#REF!</definedName>
    <definedName name="vfor_1.10.03.F">'[1]Red de Agua'!#REF!</definedName>
    <definedName name="vfor_1.10.50.A" localSheetId="4">'[1]Red de Agua'!#REF!</definedName>
    <definedName name="vfor_1.10.50.A" localSheetId="5">'[1]Red de Agua'!#REF!</definedName>
    <definedName name="vfor_1.10.50.A" localSheetId="3">'[1]Red de Agua'!#REF!</definedName>
    <definedName name="vfor_1.10.50.A" localSheetId="2">'[1]Red de Agua'!#REF!</definedName>
    <definedName name="vfor_1.10.50.A">'[1]Red de Agua'!#REF!</definedName>
    <definedName name="vfor_1.10.50.B" localSheetId="4">'[1]Red de Agua'!#REF!</definedName>
    <definedName name="vfor_1.10.50.B" localSheetId="5">'[1]Red de Agua'!#REF!</definedName>
    <definedName name="vfor_1.10.50.B" localSheetId="3">'[1]Red de Agua'!#REF!</definedName>
    <definedName name="vfor_1.10.50.B" localSheetId="2">'[1]Red de Agua'!#REF!</definedName>
    <definedName name="vfor_1.10.50.B">'[1]Red de Agua'!#REF!</definedName>
    <definedName name="vfor_1.20.00.A" localSheetId="4">'[1]Red de Cloaca'!#REF!</definedName>
    <definedName name="vfor_1.20.00.A" localSheetId="5">'[1]Red de Cloaca'!#REF!</definedName>
    <definedName name="vfor_1.20.00.A" localSheetId="3">'[1]Red de Cloaca'!#REF!</definedName>
    <definedName name="vfor_1.20.00.A" localSheetId="2">'[1]Red de Cloaca'!#REF!</definedName>
    <definedName name="vfor_1.20.00.A">'[1]Red de Cloaca'!#REF!</definedName>
    <definedName name="vfor_1.20.00.B" localSheetId="4">'[1]Red de Cloaca'!#REF!</definedName>
    <definedName name="vfor_1.20.00.B" localSheetId="5">'[1]Red de Cloaca'!#REF!</definedName>
    <definedName name="vfor_1.20.00.B" localSheetId="3">'[1]Red de Cloaca'!#REF!</definedName>
    <definedName name="vfor_1.20.00.B" localSheetId="2">'[1]Red de Cloaca'!#REF!</definedName>
    <definedName name="vfor_1.20.00.B">'[1]Red de Cloaca'!#REF!</definedName>
    <definedName name="vfor_1.20.50.A" localSheetId="4">'[1]Red de Cloaca'!#REF!</definedName>
    <definedName name="vfor_1.20.50.A" localSheetId="5">'[1]Red de Cloaca'!#REF!</definedName>
    <definedName name="vfor_1.20.50.A" localSheetId="3">'[1]Red de Cloaca'!#REF!</definedName>
    <definedName name="vfor_1.20.50.A" localSheetId="2">'[1]Red de Cloaca'!#REF!</definedName>
    <definedName name="vfor_1.20.50.A">'[1]Red de Cloaca'!#REF!</definedName>
    <definedName name="vfor_1.20.50.B" localSheetId="4">'[1]Red de Cloaca'!#REF!</definedName>
    <definedName name="vfor_1.20.50.B" localSheetId="5">'[1]Red de Cloaca'!#REF!</definedName>
    <definedName name="vfor_1.20.50.B" localSheetId="3">'[1]Red de Cloaca'!#REF!</definedName>
    <definedName name="vfor_1.20.50.B" localSheetId="2">'[1]Red de Cloaca'!#REF!</definedName>
    <definedName name="vfor_1.20.50.B">'[1]Red de Cloaca'!#REF!</definedName>
    <definedName name="vfor_1.40.00.A" localSheetId="4">'[1]Red de Gas'!#REF!</definedName>
    <definedName name="vfor_1.40.00.A" localSheetId="5">'[1]Red de Gas'!#REF!</definedName>
    <definedName name="vfor_1.40.00.A" localSheetId="3">'[1]Red de Gas'!#REF!</definedName>
    <definedName name="vfor_1.40.00.A" localSheetId="2">'[1]Red de Gas'!#REF!</definedName>
    <definedName name="vfor_1.40.00.A">'[1]Red de Gas'!#REF!</definedName>
    <definedName name="vibradorinmnafta">[2]Equipos!$Q$27</definedName>
    <definedName name="Z_09545CA5_E1C8_49BD_AE60_33D558E425F1_.wvu.FilterData" localSheetId="6" hidden="1">'IN-12-11'!$A$1:$E$238</definedName>
    <definedName name="Z_0D76B64C_AC04_4788_917D_4511FD9E9090_.wvu.FilterData" localSheetId="6" hidden="1">'IN-12-11'!$A$1:$E$238</definedName>
    <definedName name="Z_0D76B64C_AC04_4788_917D_4511FD9E9090_.wvu.PrintArea" localSheetId="6" hidden="1">'IN-12-11'!$A$1:$E$238</definedName>
    <definedName name="Z_0D76B64C_AC04_4788_917D_4511FD9E9090_.wvu.PrintTitles" localSheetId="6" hidden="1">'IN-12-11'!$1:$5</definedName>
    <definedName name="Z_D8392041_DA66_4755_A670_C1D45774EC77_.wvu.Cols" localSheetId="6" hidden="1">'IN-12-11'!$E:$O</definedName>
    <definedName name="Z_D8392041_DA66_4755_A670_C1D45774EC77_.wvu.FilterData" localSheetId="6" hidden="1">'IN-12-11'!$A$1:$E$238</definedName>
    <definedName name="Z_D8392041_DA66_4755_A670_C1D45774EC77_.wvu.PrintArea" localSheetId="6" hidden="1">'IN-12-11'!$A$1:$G$441</definedName>
    <definedName name="Z_D8392041_DA66_4755_A670_C1D45774EC77_.wvu.Rows" localSheetId="6" hidden="1">'IN-12-11'!$28:$28,'IN-12-11'!$50:$50,'IN-12-11'!$57:$57,'IN-12-11'!$88:$90,'IN-12-11'!$93:$95,'IN-12-11'!$99:$99,'IN-12-11'!$101:$101,'IN-12-11'!$103:$104,'IN-12-11'!$107:$107,'IN-12-11'!$132:$132,'IN-12-11'!$134:$134,'IN-12-11'!$136:$136,'IN-12-11'!$138:$138,'IN-12-11'!$140:$140,'IN-12-11'!$142:$142,'IN-12-11'!$144:$144,'IN-12-11'!$146:$146,'IN-12-11'!$148:$148,'IN-12-11'!$150:$150,'IN-12-11'!$152:$152,'IN-12-11'!$154:$154,'IN-12-11'!$156:$156,'IN-12-11'!$158:$158,'IN-12-11'!$160:$160,'IN-12-11'!$162:$162,'IN-12-11'!$164:$164,'IN-12-11'!$166:$166,'IN-12-11'!$168:$168,'IN-12-11'!$170:$170,'IN-12-11'!$173:$173,'IN-12-11'!$175:$175,'IN-12-11'!$177:$177,'IN-12-11'!$179:$179,'IN-12-11'!$181:$181,'IN-12-11'!$183:$183,'IN-12-11'!$185:$185,'IN-12-11'!$220:$224,'IN-12-11'!$227:$229,'IN-12-11'!$231:$231,'IN-12-11'!$251:$251,'IN-12-11'!$343:$347,'IN-12-11'!$355:$356,'IN-12-11'!$368:$368,'IN-12-11'!$409:$410,'IN-12-11'!$415:$415,'IN-12-11'!$426:$428,'IN-12-11'!$442:$443</definedName>
  </definedNames>
  <calcPr calcId="191029"/>
  <customWorkbookViews>
    <customWorkbookView name="zalazar - Vista personalizada" guid="{81A9D82B-B4EE-45EA-927A-EDADB303A766}" mergeInterval="0" personalView="1" xWindow="683" yWindow="29" windowWidth="662" windowHeight="449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2" l="1"/>
  <c r="F10" i="42"/>
  <c r="F17" i="42" l="1"/>
  <c r="G17" i="40" l="1"/>
  <c r="G18" i="40" l="1"/>
  <c r="I18" i="40" l="1"/>
  <c r="K18" i="40"/>
  <c r="I20" i="40"/>
  <c r="K20" i="40" l="1"/>
  <c r="G20" i="40"/>
  <c r="K21" i="40"/>
  <c r="I21" i="40"/>
  <c r="F19" i="40" l="1"/>
  <c r="F12" i="42"/>
  <c r="F14" i="42" s="1"/>
  <c r="F16" i="44" l="1"/>
  <c r="F19" i="44"/>
  <c r="K19" i="40"/>
  <c r="I19" i="40"/>
  <c r="J19" i="40" s="1"/>
  <c r="G19" i="40"/>
  <c r="H19" i="40" s="1"/>
  <c r="F20" i="40"/>
  <c r="F18" i="40" s="1"/>
  <c r="F15" i="44" l="1"/>
  <c r="F17" i="40"/>
  <c r="J17" i="40" s="1"/>
  <c r="M17" i="40"/>
  <c r="M18" i="40"/>
  <c r="N18" i="40" s="1"/>
  <c r="M19" i="40"/>
  <c r="N19" i="40" s="1"/>
  <c r="M20" i="40"/>
  <c r="N20" i="40" s="1"/>
  <c r="M21" i="40"/>
  <c r="N21" i="40" s="1"/>
  <c r="M16" i="40"/>
  <c r="N16" i="40" s="1"/>
  <c r="H20" i="40"/>
  <c r="H16" i="40"/>
  <c r="L21" i="40"/>
  <c r="J21" i="40"/>
  <c r="J18" i="40"/>
  <c r="J20" i="40"/>
  <c r="J16" i="40"/>
  <c r="L18" i="40"/>
  <c r="L19" i="40"/>
  <c r="L20" i="40"/>
  <c r="L16" i="40"/>
  <c r="H18" i="40"/>
  <c r="C61" i="31"/>
  <c r="C56" i="34"/>
  <c r="C57" i="34" s="1"/>
  <c r="J45" i="34"/>
  <c r="B44" i="34"/>
  <c r="H9" i="34"/>
  <c r="H8" i="34"/>
  <c r="L4" i="34"/>
  <c r="D10" i="34" s="1"/>
  <c r="D3" i="34"/>
  <c r="D4" i="34" s="1"/>
  <c r="H4" i="34" s="1"/>
  <c r="L2" i="34"/>
  <c r="D11" i="34" s="1"/>
  <c r="C57" i="31"/>
  <c r="C58" i="31"/>
  <c r="B45" i="31"/>
  <c r="J46" i="31"/>
  <c r="B43" i="31"/>
  <c r="D449" i="29"/>
  <c r="D450" i="29"/>
  <c r="D451" i="29"/>
  <c r="D452" i="29"/>
  <c r="D453" i="29"/>
  <c r="D454" i="29"/>
  <c r="D455" i="29"/>
  <c r="D456" i="29"/>
  <c r="D457" i="29"/>
  <c r="D458" i="29"/>
  <c r="D459" i="29"/>
  <c r="D460" i="29"/>
  <c r="D461" i="29"/>
  <c r="D462" i="29"/>
  <c r="D463" i="29"/>
  <c r="D464" i="29"/>
  <c r="D465" i="29"/>
  <c r="D466" i="29"/>
  <c r="D467" i="29"/>
  <c r="D468" i="29"/>
  <c r="D469" i="29"/>
  <c r="D470" i="29"/>
  <c r="D471" i="29"/>
  <c r="D472" i="29"/>
  <c r="D473" i="29"/>
  <c r="D474" i="29"/>
  <c r="D475" i="29"/>
  <c r="D476" i="29"/>
  <c r="D477" i="29"/>
  <c r="D478" i="29"/>
  <c r="D479" i="29"/>
  <c r="D480" i="29"/>
  <c r="D481" i="29"/>
  <c r="D482" i="29"/>
  <c r="D483" i="29"/>
  <c r="D484" i="29"/>
  <c r="D485" i="29"/>
  <c r="D486" i="29"/>
  <c r="D487" i="29"/>
  <c r="D488" i="29"/>
  <c r="D489" i="29"/>
  <c r="D490" i="29"/>
  <c r="D491" i="29"/>
  <c r="D492" i="29"/>
  <c r="D493" i="29"/>
  <c r="D494" i="29"/>
  <c r="D495" i="29"/>
  <c r="D496" i="29"/>
  <c r="D497" i="29"/>
  <c r="D498" i="29"/>
  <c r="D499" i="29"/>
  <c r="D500" i="29"/>
  <c r="D501" i="29"/>
  <c r="D502" i="29"/>
  <c r="D503" i="29"/>
  <c r="D504" i="29"/>
  <c r="D505" i="29"/>
  <c r="D506" i="29"/>
  <c r="D507" i="29"/>
  <c r="D508" i="29"/>
  <c r="D509" i="29"/>
  <c r="D510" i="29"/>
  <c r="D511" i="29"/>
  <c r="D512" i="29"/>
  <c r="D513" i="29"/>
  <c r="D514" i="29"/>
  <c r="D515" i="29"/>
  <c r="D516" i="29"/>
  <c r="D517" i="29"/>
  <c r="D518" i="29"/>
  <c r="D519" i="29"/>
  <c r="D520" i="29"/>
  <c r="D521" i="29"/>
  <c r="D522" i="29"/>
  <c r="D523" i="29"/>
  <c r="D524" i="29"/>
  <c r="D525" i="29"/>
  <c r="D526" i="29"/>
  <c r="D527" i="29"/>
  <c r="D528" i="29"/>
  <c r="D529" i="29"/>
  <c r="D530" i="29"/>
  <c r="D531" i="29"/>
  <c r="D532" i="29"/>
  <c r="D533" i="29"/>
  <c r="D534" i="29"/>
  <c r="D535" i="29"/>
  <c r="D536" i="29"/>
  <c r="D537" i="29"/>
  <c r="D538" i="29"/>
  <c r="D539" i="29"/>
  <c r="D540" i="29"/>
  <c r="D541" i="29"/>
  <c r="D542" i="29"/>
  <c r="D543" i="29"/>
  <c r="D544" i="29"/>
  <c r="D545" i="29"/>
  <c r="D546" i="29"/>
  <c r="D547" i="29"/>
  <c r="D548" i="29"/>
  <c r="D549" i="29"/>
  <c r="D550" i="29"/>
  <c r="D551" i="29"/>
  <c r="D552" i="29"/>
  <c r="D553" i="29"/>
  <c r="D554" i="29"/>
  <c r="D555" i="29"/>
  <c r="D556" i="29"/>
  <c r="D557" i="29"/>
  <c r="D558" i="29"/>
  <c r="D559" i="29"/>
  <c r="D560" i="29"/>
  <c r="D561" i="29"/>
  <c r="D562" i="29"/>
  <c r="D563" i="29"/>
  <c r="D564" i="29"/>
  <c r="D565" i="29"/>
  <c r="D566" i="29"/>
  <c r="D567" i="29"/>
  <c r="D568" i="29"/>
  <c r="D569" i="29"/>
  <c r="D570" i="29"/>
  <c r="D571" i="29"/>
  <c r="D572" i="29"/>
  <c r="D573" i="29"/>
  <c r="D574" i="29"/>
  <c r="D575" i="29"/>
  <c r="D576" i="29"/>
  <c r="D577" i="29"/>
  <c r="D578" i="29"/>
  <c r="D579" i="29"/>
  <c r="D580" i="29"/>
  <c r="D581" i="29"/>
  <c r="D582" i="29"/>
  <c r="D583" i="29"/>
  <c r="D584" i="29"/>
  <c r="D585" i="29"/>
  <c r="D586" i="29"/>
  <c r="D587" i="29"/>
  <c r="D588" i="29"/>
  <c r="D589" i="29"/>
  <c r="D590" i="29"/>
  <c r="D591" i="29"/>
  <c r="D592" i="29"/>
  <c r="D593" i="29"/>
  <c r="D594" i="29"/>
  <c r="D595" i="29"/>
  <c r="D596" i="29"/>
  <c r="D597" i="29"/>
  <c r="D598" i="29"/>
  <c r="D599" i="29"/>
  <c r="D600" i="29"/>
  <c r="D601" i="29"/>
  <c r="D602" i="29"/>
  <c r="D603" i="29"/>
  <c r="D604" i="29"/>
  <c r="D605" i="29"/>
  <c r="D606" i="29"/>
  <c r="D607" i="29"/>
  <c r="D608" i="29"/>
  <c r="D609" i="29"/>
  <c r="D610" i="29"/>
  <c r="D611" i="29"/>
  <c r="D612" i="29"/>
  <c r="D613" i="29"/>
  <c r="D614" i="29"/>
  <c r="D615" i="29"/>
  <c r="D616" i="29"/>
  <c r="D617" i="29"/>
  <c r="D618" i="29"/>
  <c r="D619" i="29"/>
  <c r="D620" i="29"/>
  <c r="D621" i="29"/>
  <c r="D622" i="29"/>
  <c r="D623" i="29"/>
  <c r="D624" i="29"/>
  <c r="D625" i="29"/>
  <c r="D626" i="29"/>
  <c r="D627" i="29"/>
  <c r="D628" i="29"/>
  <c r="D629" i="29"/>
  <c r="D630" i="29"/>
  <c r="D631" i="29"/>
  <c r="D632" i="29"/>
  <c r="D633" i="29"/>
  <c r="D634" i="29"/>
  <c r="D635" i="29"/>
  <c r="D636" i="29"/>
  <c r="D637" i="29"/>
  <c r="D638" i="29"/>
  <c r="D639" i="29"/>
  <c r="D640" i="29"/>
  <c r="D641" i="29"/>
  <c r="D642" i="29"/>
  <c r="D643" i="29"/>
  <c r="D644" i="29"/>
  <c r="D645" i="29"/>
  <c r="D646" i="29"/>
  <c r="D647" i="29"/>
  <c r="D648" i="29"/>
  <c r="D649" i="29"/>
  <c r="D650" i="29"/>
  <c r="D651" i="29"/>
  <c r="D652" i="29"/>
  <c r="D653" i="29"/>
  <c r="D654" i="29"/>
  <c r="D655" i="29"/>
  <c r="D656" i="29"/>
  <c r="D657" i="29"/>
  <c r="D658" i="29"/>
  <c r="D659" i="29"/>
  <c r="D660" i="29"/>
  <c r="D661" i="29"/>
  <c r="D662" i="29"/>
  <c r="D663" i="29"/>
  <c r="D664" i="29"/>
  <c r="D665" i="29"/>
  <c r="D666" i="29"/>
  <c r="D667" i="29"/>
  <c r="D668" i="29"/>
  <c r="D669" i="29"/>
  <c r="D670" i="29"/>
  <c r="D671" i="29"/>
  <c r="D672" i="29"/>
  <c r="D673" i="29"/>
  <c r="D674" i="29"/>
  <c r="D675" i="29"/>
  <c r="D676" i="29"/>
  <c r="D677" i="29"/>
  <c r="D678" i="29"/>
  <c r="D679" i="29"/>
  <c r="D680" i="29"/>
  <c r="D681" i="29"/>
  <c r="D682" i="29"/>
  <c r="D683" i="29"/>
  <c r="D684" i="29"/>
  <c r="D685" i="29"/>
  <c r="D686" i="29"/>
  <c r="D687" i="29"/>
  <c r="D688" i="29"/>
  <c r="D689" i="29"/>
  <c r="D690" i="29"/>
  <c r="D691" i="29"/>
  <c r="D692" i="29"/>
  <c r="D693" i="29"/>
  <c r="D694" i="29"/>
  <c r="D695" i="29"/>
  <c r="D696" i="29"/>
  <c r="D697" i="29"/>
  <c r="D698" i="29"/>
  <c r="D699" i="29"/>
  <c r="D700" i="29"/>
  <c r="D701" i="29"/>
  <c r="D702" i="29"/>
  <c r="D703" i="29"/>
  <c r="D704" i="29"/>
  <c r="D705" i="29"/>
  <c r="D706" i="29"/>
  <c r="D707" i="29"/>
  <c r="D708" i="29"/>
  <c r="D709" i="29"/>
  <c r="D710" i="29"/>
  <c r="D711" i="29"/>
  <c r="D712" i="29"/>
  <c r="D713" i="29"/>
  <c r="D714" i="29"/>
  <c r="D715" i="29"/>
  <c r="D716" i="29"/>
  <c r="D717" i="29"/>
  <c r="D718" i="29"/>
  <c r="D719" i="29"/>
  <c r="D720" i="29"/>
  <c r="D721" i="29"/>
  <c r="D722" i="29"/>
  <c r="D723" i="29"/>
  <c r="D724" i="29"/>
  <c r="D725" i="29"/>
  <c r="D726" i="29"/>
  <c r="D727" i="29"/>
  <c r="D728" i="29"/>
  <c r="D729" i="29"/>
  <c r="D730" i="29"/>
  <c r="D731" i="29"/>
  <c r="D732" i="29"/>
  <c r="D733" i="29"/>
  <c r="D734" i="29"/>
  <c r="D735" i="29"/>
  <c r="D736" i="29"/>
  <c r="D737" i="29"/>
  <c r="D738" i="29"/>
  <c r="D739" i="29"/>
  <c r="D740" i="29"/>
  <c r="D741" i="29"/>
  <c r="D742" i="29"/>
  <c r="D743" i="29"/>
  <c r="D744" i="29"/>
  <c r="D745" i="29"/>
  <c r="D746" i="29"/>
  <c r="D747" i="29"/>
  <c r="D748" i="29"/>
  <c r="D749" i="29"/>
  <c r="D750" i="29"/>
  <c r="D751" i="29"/>
  <c r="D752" i="29"/>
  <c r="D753" i="29"/>
  <c r="D754" i="29"/>
  <c r="D755" i="29"/>
  <c r="D756" i="29"/>
  <c r="D757" i="29"/>
  <c r="D758" i="29"/>
  <c r="D759" i="29"/>
  <c r="D760" i="29"/>
  <c r="D761" i="29"/>
  <c r="D762" i="29"/>
  <c r="D763" i="29"/>
  <c r="D764" i="29"/>
  <c r="D765" i="29"/>
  <c r="D766" i="29"/>
  <c r="D767" i="29"/>
  <c r="D768" i="29"/>
  <c r="D769" i="29"/>
  <c r="D770" i="29"/>
  <c r="D771" i="29"/>
  <c r="D772" i="29"/>
  <c r="D773" i="29"/>
  <c r="D774" i="29"/>
  <c r="D775" i="29"/>
  <c r="D776" i="29"/>
  <c r="D777" i="29"/>
  <c r="D778" i="29"/>
  <c r="D779" i="29"/>
  <c r="D780" i="29"/>
  <c r="D781" i="29"/>
  <c r="D782" i="29"/>
  <c r="D783" i="29"/>
  <c r="D784" i="29"/>
  <c r="D785" i="29"/>
  <c r="D786" i="29"/>
  <c r="D787" i="29"/>
  <c r="D788" i="29"/>
  <c r="D789" i="29"/>
  <c r="D790" i="29"/>
  <c r="D791" i="29"/>
  <c r="D792" i="29"/>
  <c r="D793" i="29"/>
  <c r="D794" i="29"/>
  <c r="D795" i="29"/>
  <c r="D796" i="29"/>
  <c r="D797" i="29"/>
  <c r="D798" i="29"/>
  <c r="D799" i="29"/>
  <c r="D800" i="29"/>
  <c r="D801" i="29"/>
  <c r="D802" i="29"/>
  <c r="D803" i="29"/>
  <c r="D804" i="29"/>
  <c r="D805" i="29"/>
  <c r="D806" i="29"/>
  <c r="D807" i="29"/>
  <c r="D808" i="29"/>
  <c r="D809" i="29"/>
  <c r="D810" i="29"/>
  <c r="D811" i="29"/>
  <c r="D812" i="29"/>
  <c r="D813" i="29"/>
  <c r="D814" i="29"/>
  <c r="D815" i="29"/>
  <c r="D816" i="29"/>
  <c r="D817" i="29"/>
  <c r="D818" i="29"/>
  <c r="D819" i="29"/>
  <c r="D820" i="29"/>
  <c r="D821" i="29"/>
  <c r="D822" i="29"/>
  <c r="D823" i="29"/>
  <c r="D824" i="29"/>
  <c r="D825" i="29"/>
  <c r="D826" i="29"/>
  <c r="D827" i="29"/>
  <c r="D828" i="29"/>
  <c r="D829" i="29"/>
  <c r="D830" i="29"/>
  <c r="D831" i="29"/>
  <c r="D832" i="29"/>
  <c r="D833" i="29"/>
  <c r="D834" i="29"/>
  <c r="D835" i="29"/>
  <c r="D836" i="29"/>
  <c r="D837" i="29"/>
  <c r="D838" i="29"/>
  <c r="D839" i="29"/>
  <c r="D840" i="29"/>
  <c r="D841" i="29"/>
  <c r="D842" i="29"/>
  <c r="D843" i="29"/>
  <c r="D844" i="29"/>
  <c r="D845" i="29"/>
  <c r="D846" i="29"/>
  <c r="D847" i="29"/>
  <c r="D848" i="29"/>
  <c r="D849" i="29"/>
  <c r="D850" i="29"/>
  <c r="D851" i="29"/>
  <c r="D852" i="29"/>
  <c r="D853" i="29"/>
  <c r="D854" i="29"/>
  <c r="D855" i="29"/>
  <c r="D856" i="29"/>
  <c r="D857" i="29"/>
  <c r="D858" i="29"/>
  <c r="D859" i="29"/>
  <c r="D860" i="29"/>
  <c r="D861" i="29"/>
  <c r="D862" i="29"/>
  <c r="D863" i="29"/>
  <c r="D864" i="29"/>
  <c r="D865" i="29"/>
  <c r="D866" i="29"/>
  <c r="D867" i="29"/>
  <c r="D868" i="29"/>
  <c r="D869" i="29"/>
  <c r="D870" i="29"/>
  <c r="D871" i="29"/>
  <c r="D872" i="29"/>
  <c r="D873" i="29"/>
  <c r="D874" i="29"/>
  <c r="D875" i="29"/>
  <c r="D876" i="29"/>
  <c r="D877" i="29"/>
  <c r="D878" i="29"/>
  <c r="D879" i="29"/>
  <c r="D880" i="29"/>
  <c r="D448" i="29"/>
  <c r="D8" i="29"/>
  <c r="D9" i="29"/>
  <c r="D10" i="29"/>
  <c r="D11" i="29"/>
  <c r="O11" i="29"/>
  <c r="D12" i="29"/>
  <c r="O12" i="29" s="1"/>
  <c r="D13" i="29"/>
  <c r="O13" i="29"/>
  <c r="D14" i="29"/>
  <c r="D15" i="29"/>
  <c r="D16" i="29"/>
  <c r="D17" i="29"/>
  <c r="D18" i="29"/>
  <c r="D19" i="29"/>
  <c r="D20" i="29"/>
  <c r="O20" i="29"/>
  <c r="D21" i="29"/>
  <c r="O21" i="29"/>
  <c r="D22" i="29"/>
  <c r="O22" i="29"/>
  <c r="D23" i="29"/>
  <c r="D24" i="29"/>
  <c r="D25" i="29"/>
  <c r="D26" i="29"/>
  <c r="D27" i="29"/>
  <c r="D28" i="29"/>
  <c r="O28" i="29" s="1"/>
  <c r="D29" i="29"/>
  <c r="D30" i="29"/>
  <c r="D31" i="29"/>
  <c r="D32" i="29"/>
  <c r="D33" i="29"/>
  <c r="D34" i="29"/>
  <c r="D35" i="29"/>
  <c r="D36" i="29"/>
  <c r="O36" i="29" s="1"/>
  <c r="D37" i="29"/>
  <c r="O37" i="29"/>
  <c r="D38" i="29"/>
  <c r="O38" i="29" s="1"/>
  <c r="D39" i="29"/>
  <c r="D40" i="29"/>
  <c r="D41" i="29"/>
  <c r="D42" i="29"/>
  <c r="D43" i="29"/>
  <c r="D44" i="29"/>
  <c r="O44" i="29" s="1"/>
  <c r="D45" i="29"/>
  <c r="D46" i="29"/>
  <c r="D47" i="29"/>
  <c r="D48" i="29"/>
  <c r="D49" i="29"/>
  <c r="D50" i="29"/>
  <c r="D51" i="29"/>
  <c r="D52" i="29"/>
  <c r="O52" i="29" s="1"/>
  <c r="D53" i="29"/>
  <c r="D54" i="29"/>
  <c r="D55" i="29"/>
  <c r="D56" i="29"/>
  <c r="D57" i="29"/>
  <c r="D58" i="29"/>
  <c r="D59" i="29"/>
  <c r="D60" i="29"/>
  <c r="O60" i="29" s="1"/>
  <c r="D61" i="29"/>
  <c r="D62" i="29"/>
  <c r="O62" i="29"/>
  <c r="D63" i="29"/>
  <c r="D64" i="29"/>
  <c r="D65" i="29"/>
  <c r="D66" i="29"/>
  <c r="D67" i="29"/>
  <c r="D68" i="29"/>
  <c r="O68" i="29" s="1"/>
  <c r="D69" i="29"/>
  <c r="O69" i="29" s="1"/>
  <c r="D70" i="29"/>
  <c r="O70" i="29" s="1"/>
  <c r="D71" i="29"/>
  <c r="D72" i="29"/>
  <c r="D73" i="29"/>
  <c r="D74" i="29"/>
  <c r="D75" i="29"/>
  <c r="D76" i="29"/>
  <c r="O76" i="29" s="1"/>
  <c r="D77" i="29"/>
  <c r="O77" i="29" s="1"/>
  <c r="D78" i="29"/>
  <c r="O78" i="29" s="1"/>
  <c r="D79" i="29"/>
  <c r="D80" i="29"/>
  <c r="D81" i="29"/>
  <c r="D82" i="29"/>
  <c r="D83" i="29"/>
  <c r="D84" i="29"/>
  <c r="O84" i="29" s="1"/>
  <c r="D85" i="29"/>
  <c r="O85" i="29" s="1"/>
  <c r="D86" i="29"/>
  <c r="O86" i="29" s="1"/>
  <c r="D87" i="29"/>
  <c r="D88" i="29"/>
  <c r="D89" i="29"/>
  <c r="D90" i="29"/>
  <c r="D91" i="29"/>
  <c r="D92" i="29"/>
  <c r="O92" i="29" s="1"/>
  <c r="D93" i="29"/>
  <c r="O93" i="29" s="1"/>
  <c r="D94" i="29"/>
  <c r="O94" i="29" s="1"/>
  <c r="D95" i="29"/>
  <c r="D96" i="29"/>
  <c r="D97" i="29"/>
  <c r="D98" i="29"/>
  <c r="D99" i="29"/>
  <c r="D100" i="29"/>
  <c r="O100" i="29" s="1"/>
  <c r="D101" i="29"/>
  <c r="D102" i="29"/>
  <c r="O102" i="29"/>
  <c r="D103" i="29"/>
  <c r="D104" i="29"/>
  <c r="D105" i="29"/>
  <c r="D106" i="29"/>
  <c r="D107" i="29"/>
  <c r="D108" i="29"/>
  <c r="D109" i="29"/>
  <c r="O109" i="29"/>
  <c r="D110" i="29"/>
  <c r="D111" i="29"/>
  <c r="D112" i="29"/>
  <c r="D113" i="29"/>
  <c r="D114" i="29"/>
  <c r="D115" i="29"/>
  <c r="D116" i="29"/>
  <c r="O116" i="29" s="1"/>
  <c r="D117" i="29"/>
  <c r="O117" i="29" s="1"/>
  <c r="D118" i="29"/>
  <c r="O118" i="29" s="1"/>
  <c r="D119" i="29"/>
  <c r="D120" i="29"/>
  <c r="D121" i="29"/>
  <c r="D122" i="29"/>
  <c r="D123" i="29"/>
  <c r="D124" i="29"/>
  <c r="O124" i="29" s="1"/>
  <c r="D125" i="29"/>
  <c r="D126" i="29"/>
  <c r="O126" i="29" s="1"/>
  <c r="D127" i="29"/>
  <c r="D128" i="29"/>
  <c r="D129" i="29"/>
  <c r="D130" i="29"/>
  <c r="D131" i="29"/>
  <c r="E13" i="14"/>
  <c r="D132" i="29"/>
  <c r="O132" i="29"/>
  <c r="D133" i="29"/>
  <c r="D134" i="29"/>
  <c r="O134" i="29" s="1"/>
  <c r="D135" i="29"/>
  <c r="D136" i="29"/>
  <c r="D137" i="29"/>
  <c r="D138" i="29"/>
  <c r="D139" i="29"/>
  <c r="D140" i="29"/>
  <c r="O140" i="29"/>
  <c r="D141" i="29"/>
  <c r="D142" i="29"/>
  <c r="D143" i="29"/>
  <c r="D144" i="29"/>
  <c r="D145" i="29"/>
  <c r="D146" i="29"/>
  <c r="D147" i="29"/>
  <c r="D148" i="29"/>
  <c r="O148" i="29" s="1"/>
  <c r="D149" i="29"/>
  <c r="O149" i="29"/>
  <c r="D150" i="29"/>
  <c r="D151" i="29"/>
  <c r="D152" i="29"/>
  <c r="D153" i="29"/>
  <c r="D154" i="29"/>
  <c r="D155" i="29"/>
  <c r="D156" i="29"/>
  <c r="D157" i="29"/>
  <c r="O157" i="29" s="1"/>
  <c r="D158" i="29"/>
  <c r="O158" i="29" s="1"/>
  <c r="D159" i="29"/>
  <c r="D160" i="29"/>
  <c r="D161" i="29"/>
  <c r="D162" i="29"/>
  <c r="D163" i="29"/>
  <c r="D164" i="29"/>
  <c r="O164" i="29" s="1"/>
  <c r="D165" i="29"/>
  <c r="D166" i="29"/>
  <c r="O166" i="29"/>
  <c r="D167" i="29"/>
  <c r="D168" i="29"/>
  <c r="D169" i="29"/>
  <c r="D170" i="29"/>
  <c r="D171" i="29"/>
  <c r="D172" i="29"/>
  <c r="O172" i="29" s="1"/>
  <c r="D173" i="29"/>
  <c r="O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O196" i="29"/>
  <c r="D197" i="29"/>
  <c r="O197" i="29" s="1"/>
  <c r="D198" i="29"/>
  <c r="O198" i="29" s="1"/>
  <c r="D199" i="29"/>
  <c r="D200" i="29"/>
  <c r="D201" i="29"/>
  <c r="D202" i="29"/>
  <c r="D203" i="29"/>
  <c r="D204" i="29"/>
  <c r="D205" i="29"/>
  <c r="D206" i="29"/>
  <c r="O206" i="29" s="1"/>
  <c r="D207" i="29"/>
  <c r="D208" i="29"/>
  <c r="D209" i="29"/>
  <c r="D210" i="29"/>
  <c r="D211" i="29"/>
  <c r="D212" i="29"/>
  <c r="D213" i="29"/>
  <c r="O213" i="29" s="1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O228" i="29"/>
  <c r="D229" i="29"/>
  <c r="D230" i="29"/>
  <c r="O230" i="29" s="1"/>
  <c r="D231" i="29"/>
  <c r="D232" i="29"/>
  <c r="D233" i="29"/>
  <c r="D234" i="29"/>
  <c r="D235" i="29"/>
  <c r="D236" i="29"/>
  <c r="O236" i="29" s="1"/>
  <c r="D237" i="29"/>
  <c r="D238" i="29"/>
  <c r="O238" i="29" s="1"/>
  <c r="D239" i="29"/>
  <c r="D240" i="29"/>
  <c r="D241" i="29"/>
  <c r="D242" i="29"/>
  <c r="D243" i="29"/>
  <c r="D244" i="29"/>
  <c r="O244" i="29" s="1"/>
  <c r="D245" i="29"/>
  <c r="D246" i="29"/>
  <c r="D247" i="29"/>
  <c r="D248" i="29"/>
  <c r="D249" i="29"/>
  <c r="D250" i="29"/>
  <c r="D251" i="29"/>
  <c r="D252" i="29"/>
  <c r="O252" i="29"/>
  <c r="D253" i="29"/>
  <c r="D254" i="29"/>
  <c r="D255" i="29"/>
  <c r="D256" i="29"/>
  <c r="D257" i="29"/>
  <c r="D258" i="29"/>
  <c r="D259" i="29"/>
  <c r="D260" i="29"/>
  <c r="O260" i="29" s="1"/>
  <c r="D261" i="29"/>
  <c r="D262" i="29"/>
  <c r="D263" i="29"/>
  <c r="D264" i="29"/>
  <c r="D265" i="29"/>
  <c r="D266" i="29"/>
  <c r="D267" i="29"/>
  <c r="D268" i="29"/>
  <c r="O268" i="29"/>
  <c r="D269" i="29"/>
  <c r="D270" i="29"/>
  <c r="O270" i="29" s="1"/>
  <c r="D271" i="29"/>
  <c r="D272" i="29"/>
  <c r="D273" i="29"/>
  <c r="D274" i="29"/>
  <c r="D275" i="29"/>
  <c r="D276" i="29"/>
  <c r="O276" i="29" s="1"/>
  <c r="D277" i="29"/>
  <c r="O277" i="29" s="1"/>
  <c r="D278" i="29"/>
  <c r="D279" i="29"/>
  <c r="D280" i="29"/>
  <c r="D281" i="29"/>
  <c r="D282" i="29"/>
  <c r="D283" i="29"/>
  <c r="D284" i="29"/>
  <c r="O284" i="29" s="1"/>
  <c r="D285" i="29"/>
  <c r="D286" i="29"/>
  <c r="D287" i="29"/>
  <c r="D288" i="29"/>
  <c r="D289" i="29"/>
  <c r="D290" i="29"/>
  <c r="D291" i="29"/>
  <c r="D292" i="29"/>
  <c r="O292" i="29" s="1"/>
  <c r="D293" i="29"/>
  <c r="O293" i="29" s="1"/>
  <c r="D294" i="29"/>
  <c r="O294" i="29" s="1"/>
  <c r="D295" i="29"/>
  <c r="D296" i="29"/>
  <c r="D297" i="29"/>
  <c r="D298" i="29"/>
  <c r="D299" i="29"/>
  <c r="D300" i="29"/>
  <c r="O300" i="29" s="1"/>
  <c r="D301" i="29"/>
  <c r="D302" i="29"/>
  <c r="O302" i="29" s="1"/>
  <c r="D303" i="29"/>
  <c r="D304" i="29"/>
  <c r="D305" i="29"/>
  <c r="D306" i="29"/>
  <c r="D307" i="29"/>
  <c r="D308" i="29"/>
  <c r="D309" i="29"/>
  <c r="D310" i="29"/>
  <c r="O310" i="29" s="1"/>
  <c r="D311" i="29"/>
  <c r="D312" i="29"/>
  <c r="D313" i="29"/>
  <c r="D314" i="29"/>
  <c r="D315" i="29"/>
  <c r="D316" i="29"/>
  <c r="O316" i="29" s="1"/>
  <c r="D317" i="29"/>
  <c r="D318" i="29"/>
  <c r="O318" i="29"/>
  <c r="D319" i="29"/>
  <c r="D320" i="29"/>
  <c r="D321" i="29"/>
  <c r="D322" i="29"/>
  <c r="D323" i="29"/>
  <c r="D324" i="29"/>
  <c r="O324" i="29" s="1"/>
  <c r="D325" i="29"/>
  <c r="O325" i="29" s="1"/>
  <c r="D326" i="29"/>
  <c r="D327" i="29"/>
  <c r="D328" i="29"/>
  <c r="D329" i="29"/>
  <c r="D330" i="29"/>
  <c r="D331" i="29"/>
  <c r="D332" i="29"/>
  <c r="O332" i="29" s="1"/>
  <c r="D333" i="29"/>
  <c r="O333" i="29" s="1"/>
  <c r="D334" i="29"/>
  <c r="D335" i="29"/>
  <c r="D336" i="29"/>
  <c r="D337" i="29"/>
  <c r="D338" i="29"/>
  <c r="D339" i="29"/>
  <c r="D340" i="29"/>
  <c r="O340" i="29" s="1"/>
  <c r="D341" i="29"/>
  <c r="O341" i="29" s="1"/>
  <c r="D342" i="29"/>
  <c r="D343" i="29"/>
  <c r="D344" i="29"/>
  <c r="D345" i="29"/>
  <c r="D346" i="29"/>
  <c r="D347" i="29"/>
  <c r="D348" i="29"/>
  <c r="O348" i="29" s="1"/>
  <c r="D349" i="29"/>
  <c r="O349" i="29" s="1"/>
  <c r="D350" i="29"/>
  <c r="D351" i="29"/>
  <c r="D352" i="29"/>
  <c r="D353" i="29"/>
  <c r="D354" i="29"/>
  <c r="D355" i="29"/>
  <c r="D356" i="29"/>
  <c r="O356" i="29" s="1"/>
  <c r="D357" i="29"/>
  <c r="O357" i="29" s="1"/>
  <c r="D358" i="29"/>
  <c r="D359" i="29"/>
  <c r="D360" i="29"/>
  <c r="D361" i="29"/>
  <c r="D362" i="29"/>
  <c r="D363" i="29"/>
  <c r="D364" i="29"/>
  <c r="O364" i="29" s="1"/>
  <c r="D365" i="29"/>
  <c r="O365" i="29" s="1"/>
  <c r="D366" i="29"/>
  <c r="D367" i="29"/>
  <c r="D368" i="29"/>
  <c r="D369" i="29"/>
  <c r="D370" i="29"/>
  <c r="D371" i="29"/>
  <c r="D372" i="29"/>
  <c r="O372" i="29" s="1"/>
  <c r="D373" i="29"/>
  <c r="D374" i="29"/>
  <c r="D375" i="29"/>
  <c r="D376" i="29"/>
  <c r="D377" i="29"/>
  <c r="D378" i="29"/>
  <c r="D379" i="29"/>
  <c r="D380" i="29"/>
  <c r="O380" i="29" s="1"/>
  <c r="D381" i="29"/>
  <c r="D382" i="29"/>
  <c r="D383" i="29"/>
  <c r="D384" i="29"/>
  <c r="D385" i="29"/>
  <c r="D386" i="29"/>
  <c r="D387" i="29"/>
  <c r="D388" i="29"/>
  <c r="O388" i="29"/>
  <c r="D389" i="29"/>
  <c r="D390" i="29"/>
  <c r="D391" i="29"/>
  <c r="D392" i="29"/>
  <c r="D393" i="29"/>
  <c r="D394" i="29"/>
  <c r="D395" i="29"/>
  <c r="D396" i="29"/>
  <c r="O396" i="29" s="1"/>
  <c r="D397" i="29"/>
  <c r="D398" i="29"/>
  <c r="D399" i="29"/>
  <c r="D400" i="29"/>
  <c r="D401" i="29"/>
  <c r="D402" i="29"/>
  <c r="D403" i="29"/>
  <c r="D404" i="29"/>
  <c r="O404" i="29" s="1"/>
  <c r="D405" i="29"/>
  <c r="O405" i="29" s="1"/>
  <c r="D406" i="29"/>
  <c r="D407" i="29"/>
  <c r="D408" i="29"/>
  <c r="D409" i="29"/>
  <c r="D410" i="29"/>
  <c r="D411" i="29"/>
  <c r="D412" i="29"/>
  <c r="O412" i="29" s="1"/>
  <c r="D413" i="29"/>
  <c r="D414" i="29"/>
  <c r="D415" i="29"/>
  <c r="D416" i="29"/>
  <c r="D417" i="29"/>
  <c r="D418" i="29"/>
  <c r="D419" i="29"/>
  <c r="D420" i="29"/>
  <c r="O420" i="29" s="1"/>
  <c r="D421" i="29"/>
  <c r="D422" i="29"/>
  <c r="D423" i="29"/>
  <c r="D424" i="29"/>
  <c r="D425" i="29"/>
  <c r="D426" i="29"/>
  <c r="D427" i="29"/>
  <c r="D428" i="29"/>
  <c r="O428" i="29" s="1"/>
  <c r="D429" i="29"/>
  <c r="D430" i="29"/>
  <c r="D431" i="29"/>
  <c r="D432" i="29"/>
  <c r="D433" i="29"/>
  <c r="D434" i="29"/>
  <c r="D435" i="29"/>
  <c r="D436" i="29"/>
  <c r="O436" i="29" s="1"/>
  <c r="D437" i="29"/>
  <c r="D438" i="29"/>
  <c r="D439" i="29"/>
  <c r="D440" i="29"/>
  <c r="D441" i="29"/>
  <c r="D7" i="29"/>
  <c r="D6" i="29"/>
  <c r="G9" i="13"/>
  <c r="G11" i="13"/>
  <c r="G13" i="13" s="1"/>
  <c r="G17" i="13" s="1"/>
  <c r="F11" i="14"/>
  <c r="Q11" i="14"/>
  <c r="E12" i="14"/>
  <c r="F12" i="14" s="1"/>
  <c r="O12" i="14"/>
  <c r="U12" i="14"/>
  <c r="O13" i="14"/>
  <c r="U13" i="14"/>
  <c r="O14" i="14"/>
  <c r="U14" i="14"/>
  <c r="E14" i="14" s="1"/>
  <c r="U15" i="14"/>
  <c r="E15" i="14" s="1"/>
  <c r="F15" i="14" s="1"/>
  <c r="I15" i="14" s="1"/>
  <c r="L15" i="14" s="1"/>
  <c r="O15" i="14"/>
  <c r="N16" i="14"/>
  <c r="P16" i="14" s="1"/>
  <c r="O16" i="14"/>
  <c r="U16" i="14"/>
  <c r="U17" i="14"/>
  <c r="E17" i="14"/>
  <c r="N17" i="14"/>
  <c r="P17" i="14" s="1"/>
  <c r="O17" i="14"/>
  <c r="E18" i="14"/>
  <c r="F18" i="14" s="1"/>
  <c r="O18" i="14"/>
  <c r="U18" i="14"/>
  <c r="O19" i="14"/>
  <c r="U19" i="14"/>
  <c r="O20" i="14"/>
  <c r="U20" i="14"/>
  <c r="E21" i="14"/>
  <c r="J21" i="14" s="1"/>
  <c r="O21" i="14"/>
  <c r="U21" i="14"/>
  <c r="E22" i="14"/>
  <c r="J22" i="14" s="1"/>
  <c r="O22" i="14"/>
  <c r="U22" i="14"/>
  <c r="O23" i="14"/>
  <c r="U23" i="14"/>
  <c r="E23" i="14" s="1"/>
  <c r="J23" i="14" s="1"/>
  <c r="E24" i="14"/>
  <c r="J24" i="14" s="1"/>
  <c r="O24" i="14"/>
  <c r="U24" i="14"/>
  <c r="O25" i="14"/>
  <c r="U25" i="14"/>
  <c r="O26" i="14"/>
  <c r="U26" i="14"/>
  <c r="E27" i="14"/>
  <c r="J27" i="14" s="1"/>
  <c r="O27" i="14"/>
  <c r="U27" i="14"/>
  <c r="U28" i="14"/>
  <c r="E28" i="14" s="1"/>
  <c r="O28" i="14"/>
  <c r="E29" i="14"/>
  <c r="O29" i="14"/>
  <c r="U29" i="14"/>
  <c r="U30" i="14"/>
  <c r="E30" i="14" s="1"/>
  <c r="O30" i="14"/>
  <c r="O31" i="14"/>
  <c r="U31" i="14"/>
  <c r="E31" i="14" s="1"/>
  <c r="F31" i="14" s="1"/>
  <c r="I31" i="14" s="1"/>
  <c r="U32" i="14"/>
  <c r="E32" i="14"/>
  <c r="F32" i="14" s="1"/>
  <c r="N32" i="14"/>
  <c r="P32" i="14" s="1"/>
  <c r="O32" i="14"/>
  <c r="O33" i="14"/>
  <c r="U33" i="14"/>
  <c r="E33" i="14" s="1"/>
  <c r="U34" i="14"/>
  <c r="E34" i="14" s="1"/>
  <c r="O34" i="14"/>
  <c r="U35" i="14"/>
  <c r="E35" i="14" s="1"/>
  <c r="N35" i="14"/>
  <c r="P35" i="14" s="1"/>
  <c r="Q35" i="14" s="1"/>
  <c r="O35" i="14"/>
  <c r="U36" i="14"/>
  <c r="E36" i="14" s="1"/>
  <c r="J36" i="14" s="1"/>
  <c r="O36" i="14"/>
  <c r="U37" i="14"/>
  <c r="E37" i="14" s="1"/>
  <c r="F37" i="14" s="1"/>
  <c r="O37" i="14"/>
  <c r="U38" i="14"/>
  <c r="E38" i="14" s="1"/>
  <c r="O38" i="14"/>
  <c r="O39" i="14"/>
  <c r="U39" i="14"/>
  <c r="E39" i="14" s="1"/>
  <c r="U40" i="14"/>
  <c r="E40" i="14" s="1"/>
  <c r="O40" i="14"/>
  <c r="U41" i="14"/>
  <c r="E41" i="14" s="1"/>
  <c r="J41" i="14" s="1"/>
  <c r="O41" i="14"/>
  <c r="F42" i="14"/>
  <c r="I42" i="14" s="1"/>
  <c r="L42" i="14" s="1"/>
  <c r="J42" i="14"/>
  <c r="N42" i="14"/>
  <c r="O42" i="14"/>
  <c r="U42" i="14"/>
  <c r="U43" i="14"/>
  <c r="E43" i="14"/>
  <c r="O43" i="14"/>
  <c r="U44" i="14"/>
  <c r="E44" i="14" s="1"/>
  <c r="O44" i="14"/>
  <c r="O45" i="14"/>
  <c r="U45" i="14"/>
  <c r="O46" i="14"/>
  <c r="U46" i="14"/>
  <c r="E46" i="14" s="1"/>
  <c r="E47" i="14"/>
  <c r="O47" i="14"/>
  <c r="U47" i="14"/>
  <c r="O48" i="14"/>
  <c r="U48" i="14"/>
  <c r="E48" i="14" s="1"/>
  <c r="F48" i="14" s="1"/>
  <c r="U49" i="14"/>
  <c r="E49" i="14" s="1"/>
  <c r="F49" i="14" s="1"/>
  <c r="I49" i="14" s="1"/>
  <c r="L49" i="14" s="1"/>
  <c r="O49" i="14"/>
  <c r="E50" i="14"/>
  <c r="F50" i="14" s="1"/>
  <c r="I50" i="14" s="1"/>
  <c r="N50" i="14"/>
  <c r="P50" i="14" s="1"/>
  <c r="O50" i="14"/>
  <c r="U50" i="14"/>
  <c r="U51" i="14"/>
  <c r="E51" i="14" s="1"/>
  <c r="N51" i="14"/>
  <c r="P51" i="14" s="1"/>
  <c r="O51" i="14"/>
  <c r="E52" i="14"/>
  <c r="F52" i="14" s="1"/>
  <c r="I52" i="14" s="1"/>
  <c r="L52" i="14" s="1"/>
  <c r="N52" i="14"/>
  <c r="P52" i="14" s="1"/>
  <c r="O52" i="14"/>
  <c r="U52" i="14"/>
  <c r="U53" i="14"/>
  <c r="E53" i="14" s="1"/>
  <c r="N53" i="14"/>
  <c r="O53" i="14"/>
  <c r="U54" i="14"/>
  <c r="E54" i="14" s="1"/>
  <c r="N54" i="14"/>
  <c r="O54" i="14"/>
  <c r="U55" i="14"/>
  <c r="E55" i="14" s="1"/>
  <c r="N55" i="14"/>
  <c r="O55" i="14"/>
  <c r="O56" i="14"/>
  <c r="U56" i="14"/>
  <c r="E56" i="14"/>
  <c r="E57" i="14"/>
  <c r="O57" i="14"/>
  <c r="U57" i="14"/>
  <c r="O58" i="14"/>
  <c r="U58" i="14"/>
  <c r="E58" i="14" s="1"/>
  <c r="J58" i="14" s="1"/>
  <c r="E59" i="14"/>
  <c r="F59" i="14" s="1"/>
  <c r="I59" i="14" s="1"/>
  <c r="L59" i="14" s="1"/>
  <c r="O59" i="14"/>
  <c r="U59" i="14"/>
  <c r="E60" i="14"/>
  <c r="O60" i="14"/>
  <c r="U60" i="14"/>
  <c r="U61" i="14"/>
  <c r="E61" i="14" s="1"/>
  <c r="O61" i="14"/>
  <c r="N62" i="14"/>
  <c r="P62" i="14" s="1"/>
  <c r="O62" i="14"/>
  <c r="U62" i="14"/>
  <c r="E62" i="14"/>
  <c r="F62" i="14" s="1"/>
  <c r="U63" i="14"/>
  <c r="E63" i="14" s="1"/>
  <c r="O63" i="14"/>
  <c r="N64" i="14"/>
  <c r="P64" i="14" s="1"/>
  <c r="O64" i="14"/>
  <c r="U64" i="14"/>
  <c r="E64" i="14"/>
  <c r="J64" i="14" s="1"/>
  <c r="U65" i="14"/>
  <c r="E65" i="14" s="1"/>
  <c r="J65" i="14" s="1"/>
  <c r="O65" i="14"/>
  <c r="O66" i="14"/>
  <c r="U66" i="14"/>
  <c r="U67" i="14"/>
  <c r="E67" i="14"/>
  <c r="F67" i="14" s="1"/>
  <c r="O67" i="14"/>
  <c r="U68" i="14"/>
  <c r="E68" i="14" s="1"/>
  <c r="O68" i="14"/>
  <c r="U69" i="14"/>
  <c r="E69" i="14" s="1"/>
  <c r="F69" i="14" s="1"/>
  <c r="I69" i="14"/>
  <c r="L69" i="14" s="1"/>
  <c r="J69" i="14"/>
  <c r="O69" i="14"/>
  <c r="U70" i="14"/>
  <c r="E70" i="14"/>
  <c r="J70" i="14" s="1"/>
  <c r="O70" i="14"/>
  <c r="U71" i="14"/>
  <c r="E71" i="14" s="1"/>
  <c r="O71" i="14"/>
  <c r="U72" i="14"/>
  <c r="E72" i="14" s="1"/>
  <c r="F72" i="14" s="1"/>
  <c r="O72" i="14"/>
  <c r="N73" i="14"/>
  <c r="P73" i="14" s="1"/>
  <c r="O73" i="14"/>
  <c r="U73" i="14"/>
  <c r="E73" i="14"/>
  <c r="F73" i="14" s="1"/>
  <c r="I73" i="14" s="1"/>
  <c r="L73" i="14" s="1"/>
  <c r="U74" i="14"/>
  <c r="E74" i="14" s="1"/>
  <c r="N74" i="14"/>
  <c r="O74" i="14"/>
  <c r="U75" i="14"/>
  <c r="E75" i="14" s="1"/>
  <c r="O75" i="14"/>
  <c r="E76" i="14"/>
  <c r="J76" i="14" s="1"/>
  <c r="O76" i="14"/>
  <c r="U76" i="14"/>
  <c r="E77" i="14"/>
  <c r="J77" i="14" s="1"/>
  <c r="O77" i="14"/>
  <c r="U77" i="14"/>
  <c r="E78" i="14"/>
  <c r="F78" i="14" s="1"/>
  <c r="I78" i="14" s="1"/>
  <c r="O78" i="14"/>
  <c r="U78" i="14"/>
  <c r="F79" i="14"/>
  <c r="I79" i="14" s="1"/>
  <c r="J79" i="14"/>
  <c r="O79" i="14"/>
  <c r="U79" i="14"/>
  <c r="F80" i="14"/>
  <c r="I80" i="14" s="1"/>
  <c r="J80" i="14"/>
  <c r="K80" i="14" s="1"/>
  <c r="L80" i="14" s="1"/>
  <c r="O80" i="14"/>
  <c r="U80" i="14"/>
  <c r="E81" i="14"/>
  <c r="F81" i="14"/>
  <c r="I81" i="14" s="1"/>
  <c r="N81" i="14"/>
  <c r="P81" i="14" s="1"/>
  <c r="Q81" i="14" s="1"/>
  <c r="O81" i="14"/>
  <c r="U81" i="14"/>
  <c r="E82" i="14"/>
  <c r="F82" i="14" s="1"/>
  <c r="I82" i="14" s="1"/>
  <c r="N82" i="14"/>
  <c r="P82" i="14" s="1"/>
  <c r="O82" i="14"/>
  <c r="U82" i="14"/>
  <c r="F83" i="14"/>
  <c r="I83" i="14" s="1"/>
  <c r="K83" i="14" s="1"/>
  <c r="L83" i="14" s="1"/>
  <c r="J83" i="14"/>
  <c r="N83" i="14"/>
  <c r="O83" i="14"/>
  <c r="U83" i="14"/>
  <c r="F84" i="14"/>
  <c r="I84" i="14" s="1"/>
  <c r="K84" i="14" s="1"/>
  <c r="L84" i="14" s="1"/>
  <c r="J84" i="14"/>
  <c r="N84" i="14"/>
  <c r="P84" i="14" s="1"/>
  <c r="O84" i="14"/>
  <c r="U84" i="14"/>
  <c r="O6" i="29"/>
  <c r="O7" i="29"/>
  <c r="O8" i="29"/>
  <c r="O9" i="29"/>
  <c r="O10" i="29"/>
  <c r="O14" i="29"/>
  <c r="H15" i="29"/>
  <c r="O15" i="29"/>
  <c r="H16" i="29"/>
  <c r="O16" i="29"/>
  <c r="H17" i="29"/>
  <c r="O17" i="29"/>
  <c r="H18" i="29"/>
  <c r="O18" i="29"/>
  <c r="E19" i="29"/>
  <c r="H19" i="29"/>
  <c r="O19" i="29"/>
  <c r="E23" i="29"/>
  <c r="O23" i="29"/>
  <c r="O26" i="29"/>
  <c r="O27" i="29"/>
  <c r="E28" i="29"/>
  <c r="O30" i="29"/>
  <c r="O31" i="29"/>
  <c r="J32" i="29"/>
  <c r="O32" i="29"/>
  <c r="I33" i="29"/>
  <c r="O33" i="29"/>
  <c r="E34" i="29"/>
  <c r="O34" i="29"/>
  <c r="O35" i="29"/>
  <c r="G36" i="29"/>
  <c r="O39" i="29"/>
  <c r="G40" i="29"/>
  <c r="H40" i="29"/>
  <c r="O40" i="29"/>
  <c r="G41" i="29"/>
  <c r="O41" i="29"/>
  <c r="O42" i="29"/>
  <c r="O43" i="29"/>
  <c r="O45" i="29"/>
  <c r="O46" i="29"/>
  <c r="O47" i="29"/>
  <c r="O48" i="29"/>
  <c r="O49" i="29"/>
  <c r="O50" i="29"/>
  <c r="O51" i="29"/>
  <c r="O53" i="29"/>
  <c r="O54" i="29"/>
  <c r="O55" i="29"/>
  <c r="O56" i="29"/>
  <c r="O57" i="29"/>
  <c r="O58" i="29"/>
  <c r="O59" i="29"/>
  <c r="O61" i="29"/>
  <c r="J62" i="29"/>
  <c r="O63" i="29"/>
  <c r="O64" i="29"/>
  <c r="H65" i="29"/>
  <c r="O65" i="29"/>
  <c r="O66" i="29"/>
  <c r="O67" i="29"/>
  <c r="H71" i="29"/>
  <c r="O71" i="29"/>
  <c r="O72" i="29"/>
  <c r="O73" i="29"/>
  <c r="O74" i="29"/>
  <c r="O75" i="29"/>
  <c r="O79" i="29"/>
  <c r="O80" i="29"/>
  <c r="O81" i="29"/>
  <c r="O82" i="29"/>
  <c r="O83" i="29"/>
  <c r="E85" i="29"/>
  <c r="F87" i="29"/>
  <c r="O87" i="29"/>
  <c r="F88" i="29"/>
  <c r="O88" i="29"/>
  <c r="O89" i="29"/>
  <c r="O90" i="29"/>
  <c r="F91" i="29"/>
  <c r="O91" i="29"/>
  <c r="F92" i="29"/>
  <c r="F93" i="29"/>
  <c r="F94" i="29"/>
  <c r="F95" i="29"/>
  <c r="O95" i="29"/>
  <c r="F96" i="29"/>
  <c r="O96" i="29"/>
  <c r="F97" i="29"/>
  <c r="O97" i="29"/>
  <c r="F98" i="29"/>
  <c r="O98" i="29"/>
  <c r="F99" i="29"/>
  <c r="O99" i="29"/>
  <c r="E101" i="29"/>
  <c r="O101" i="29"/>
  <c r="E103" i="29"/>
  <c r="O103" i="29"/>
  <c r="E104" i="29"/>
  <c r="O104" i="29"/>
  <c r="O105" i="29"/>
  <c r="O106" i="29"/>
  <c r="K107" i="29"/>
  <c r="O107" i="29"/>
  <c r="O110" i="29"/>
  <c r="O111" i="29"/>
  <c r="O112" i="29"/>
  <c r="O113" i="29"/>
  <c r="O114" i="29"/>
  <c r="O115" i="29"/>
  <c r="O119" i="29"/>
  <c r="O120" i="29"/>
  <c r="O121" i="29"/>
  <c r="O122" i="29"/>
  <c r="O123" i="29"/>
  <c r="O127" i="29"/>
  <c r="O128" i="29"/>
  <c r="O129" i="29"/>
  <c r="O130" i="29"/>
  <c r="E131" i="29"/>
  <c r="O131" i="29"/>
  <c r="E133" i="29"/>
  <c r="E135" i="29"/>
  <c r="O135" i="29"/>
  <c r="O136" i="29"/>
  <c r="E137" i="29"/>
  <c r="O137" i="29"/>
  <c r="O138" i="29"/>
  <c r="E139" i="29"/>
  <c r="O139" i="29"/>
  <c r="E141" i="29"/>
  <c r="O141" i="29"/>
  <c r="O142" i="29"/>
  <c r="E143" i="29"/>
  <c r="O143" i="29"/>
  <c r="O144" i="29"/>
  <c r="E145" i="29"/>
  <c r="O145" i="29"/>
  <c r="O146" i="29"/>
  <c r="E147" i="29"/>
  <c r="O147" i="29"/>
  <c r="E149" i="29"/>
  <c r="O150" i="29"/>
  <c r="E151" i="29"/>
  <c r="O151" i="29"/>
  <c r="I152" i="29"/>
  <c r="O152" i="29"/>
  <c r="O153" i="29"/>
  <c r="O154" i="29"/>
  <c r="G155" i="29"/>
  <c r="O155" i="29"/>
  <c r="O156" i="29"/>
  <c r="O159" i="29"/>
  <c r="O160" i="29"/>
  <c r="O161" i="29"/>
  <c r="O162" i="29"/>
  <c r="O163" i="29"/>
  <c r="I167" i="29"/>
  <c r="O167" i="29"/>
  <c r="O168" i="29"/>
  <c r="G169" i="29"/>
  <c r="O169" i="29"/>
  <c r="O170" i="29"/>
  <c r="O171" i="29"/>
  <c r="G174" i="29"/>
  <c r="O174" i="29"/>
  <c r="O175" i="29"/>
  <c r="G176" i="29"/>
  <c r="K176" i="29"/>
  <c r="O176" i="29"/>
  <c r="O177" i="29"/>
  <c r="J178" i="29"/>
  <c r="O178" i="29"/>
  <c r="O179" i="29"/>
  <c r="E181" i="29"/>
  <c r="O181" i="29"/>
  <c r="O182" i="29"/>
  <c r="O183" i="29"/>
  <c r="O184" i="29"/>
  <c r="I185" i="29"/>
  <c r="O185" i="29"/>
  <c r="O186" i="29"/>
  <c r="O187" i="29"/>
  <c r="O188" i="29"/>
  <c r="O189" i="29"/>
  <c r="O190" i="29"/>
  <c r="O191" i="29"/>
  <c r="O192" i="29"/>
  <c r="G193" i="29"/>
  <c r="O193" i="29"/>
  <c r="O194" i="29"/>
  <c r="I195" i="29"/>
  <c r="O195" i="29"/>
  <c r="O199" i="29"/>
  <c r="O200" i="29"/>
  <c r="O201" i="29"/>
  <c r="O202" i="29"/>
  <c r="O203" i="29"/>
  <c r="O204" i="29"/>
  <c r="O205" i="29"/>
  <c r="O207" i="29"/>
  <c r="O208" i="29"/>
  <c r="O209" i="29"/>
  <c r="O210" i="29"/>
  <c r="E211" i="29"/>
  <c r="O211" i="29"/>
  <c r="O212" i="29"/>
  <c r="O214" i="29"/>
  <c r="O215" i="29"/>
  <c r="O216" i="29"/>
  <c r="O217" i="29"/>
  <c r="O218" i="29"/>
  <c r="E219" i="29"/>
  <c r="E224" i="29" s="1"/>
  <c r="O219" i="29"/>
  <c r="E220" i="29"/>
  <c r="O220" i="29"/>
  <c r="E221" i="29"/>
  <c r="O221" i="29"/>
  <c r="E222" i="29"/>
  <c r="O222" i="29"/>
  <c r="E223" i="29"/>
  <c r="O223" i="29"/>
  <c r="O224" i="29"/>
  <c r="O225" i="29"/>
  <c r="O226" i="29"/>
  <c r="E227" i="29"/>
  <c r="O227" i="29"/>
  <c r="E228" i="29"/>
  <c r="E229" i="29"/>
  <c r="O229" i="29"/>
  <c r="O231" i="29"/>
  <c r="O232" i="29"/>
  <c r="O233" i="29"/>
  <c r="O234" i="29"/>
  <c r="O235" i="29"/>
  <c r="O237" i="29"/>
  <c r="O239" i="29"/>
  <c r="O240" i="29"/>
  <c r="O241" i="29"/>
  <c r="E242" i="29"/>
  <c r="O242" i="29"/>
  <c r="O243" i="29"/>
  <c r="J244" i="29"/>
  <c r="O245" i="29"/>
  <c r="O246" i="29"/>
  <c r="O247" i="29"/>
  <c r="O248" i="29"/>
  <c r="O249" i="29"/>
  <c r="O250" i="29"/>
  <c r="E251" i="29"/>
  <c r="O251" i="29"/>
  <c r="O253" i="29"/>
  <c r="O254" i="29"/>
  <c r="O255" i="29"/>
  <c r="O256" i="29"/>
  <c r="O257" i="29"/>
  <c r="O258" i="29"/>
  <c r="O259" i="29"/>
  <c r="O261" i="29"/>
  <c r="O262" i="29"/>
  <c r="O263" i="29"/>
  <c r="O264" i="29"/>
  <c r="O265" i="29"/>
  <c r="O266" i="29"/>
  <c r="G267" i="29"/>
  <c r="O267" i="29"/>
  <c r="I269" i="29"/>
  <c r="O269" i="29"/>
  <c r="O271" i="29"/>
  <c r="O272" i="29"/>
  <c r="E273" i="29"/>
  <c r="O273" i="29"/>
  <c r="E274" i="29"/>
  <c r="O274" i="29"/>
  <c r="E275" i="29"/>
  <c r="O275" i="29"/>
  <c r="E276" i="29"/>
  <c r="O278" i="29"/>
  <c r="O279" i="29"/>
  <c r="E280" i="29"/>
  <c r="O280" i="29"/>
  <c r="O281" i="29"/>
  <c r="O282" i="29"/>
  <c r="O283" i="29"/>
  <c r="O285" i="29"/>
  <c r="O286" i="29"/>
  <c r="O287" i="29"/>
  <c r="O288" i="29"/>
  <c r="O289" i="29"/>
  <c r="J290" i="29"/>
  <c r="O290" i="29"/>
  <c r="J291" i="29"/>
  <c r="K290" i="29"/>
  <c r="K291" i="29" s="1"/>
  <c r="O291" i="29"/>
  <c r="O295" i="29"/>
  <c r="O296" i="29"/>
  <c r="O297" i="29"/>
  <c r="O298" i="29"/>
  <c r="O299" i="29"/>
  <c r="O301" i="29"/>
  <c r="O303" i="29"/>
  <c r="O304" i="29"/>
  <c r="O305" i="29"/>
  <c r="O306" i="29"/>
  <c r="O307" i="29"/>
  <c r="O308" i="29"/>
  <c r="O309" i="29"/>
  <c r="O311" i="29"/>
  <c r="O312" i="29"/>
  <c r="O313" i="29"/>
  <c r="O314" i="29"/>
  <c r="O315" i="29"/>
  <c r="O317" i="29"/>
  <c r="O319" i="29"/>
  <c r="O320" i="29"/>
  <c r="O321" i="29"/>
  <c r="O322" i="29"/>
  <c r="O323" i="29"/>
  <c r="O326" i="29"/>
  <c r="O327" i="29"/>
  <c r="O328" i="29"/>
  <c r="O329" i="29"/>
  <c r="O330" i="29"/>
  <c r="O331" i="29"/>
  <c r="O334" i="29"/>
  <c r="O335" i="29"/>
  <c r="O336" i="29"/>
  <c r="O337" i="29"/>
  <c r="O338" i="29"/>
  <c r="O339" i="29"/>
  <c r="O342" i="29"/>
  <c r="O343" i="29"/>
  <c r="O344" i="29"/>
  <c r="O345" i="29"/>
  <c r="O346" i="29"/>
  <c r="O347" i="29"/>
  <c r="O350" i="29"/>
  <c r="O351" i="29"/>
  <c r="O352" i="29"/>
  <c r="O353" i="29"/>
  <c r="O354" i="29"/>
  <c r="O355" i="29"/>
  <c r="O358" i="29"/>
  <c r="O359" i="29"/>
  <c r="O360" i="29"/>
  <c r="O361" i="29"/>
  <c r="O362" i="29"/>
  <c r="O363" i="29"/>
  <c r="O366" i="29"/>
  <c r="O367" i="29"/>
  <c r="K368" i="29"/>
  <c r="K367" i="29" s="1"/>
  <c r="K366" i="29" s="1"/>
  <c r="O368" i="29"/>
  <c r="K369" i="29"/>
  <c r="O369" i="29"/>
  <c r="K370" i="29"/>
  <c r="K373" i="29"/>
  <c r="O370" i="29"/>
  <c r="O373" i="29"/>
  <c r="O374" i="29"/>
  <c r="O375" i="29"/>
  <c r="O376" i="29"/>
  <c r="O377" i="29"/>
  <c r="O378" i="29"/>
  <c r="O379" i="29"/>
  <c r="O381" i="29"/>
  <c r="O382" i="29"/>
  <c r="O383" i="29"/>
  <c r="O384" i="29"/>
  <c r="O385" i="29"/>
  <c r="O386" i="29"/>
  <c r="O387" i="29"/>
  <c r="O389" i="29"/>
  <c r="O390" i="29"/>
  <c r="O391" i="29"/>
  <c r="O392" i="29"/>
  <c r="O393" i="29"/>
  <c r="O394" i="29"/>
  <c r="O395" i="29"/>
  <c r="O397" i="29"/>
  <c r="O398" i="29"/>
  <c r="O399" i="29"/>
  <c r="O400" i="29"/>
  <c r="O401" i="29"/>
  <c r="O402" i="29"/>
  <c r="O403" i="29"/>
  <c r="O406" i="29"/>
  <c r="O407" i="29"/>
  <c r="O408" i="29"/>
  <c r="E409" i="29"/>
  <c r="O409" i="29"/>
  <c r="E410" i="29"/>
  <c r="O410" i="29"/>
  <c r="O411" i="29"/>
  <c r="O413" i="29"/>
  <c r="O414" i="29"/>
  <c r="E415" i="29"/>
  <c r="O415" i="29"/>
  <c r="O416" i="29"/>
  <c r="O417" i="29"/>
  <c r="O418" i="29"/>
  <c r="O419" i="29"/>
  <c r="O421" i="29"/>
  <c r="O422" i="29"/>
  <c r="O423" i="29"/>
  <c r="O424" i="29"/>
  <c r="O425" i="29"/>
  <c r="E426" i="29"/>
  <c r="O426" i="29"/>
  <c r="E427" i="29"/>
  <c r="O427" i="29"/>
  <c r="O429" i="29"/>
  <c r="O430" i="29"/>
  <c r="O431" i="29"/>
  <c r="O432" i="29"/>
  <c r="O433" i="29"/>
  <c r="O434" i="29"/>
  <c r="O435" i="29"/>
  <c r="O437" i="29"/>
  <c r="O438" i="29"/>
  <c r="O439" i="29"/>
  <c r="O440" i="29"/>
  <c r="O441" i="29"/>
  <c r="L442" i="29"/>
  <c r="O442" i="29"/>
  <c r="L2" i="32"/>
  <c r="D3" i="32"/>
  <c r="D5" i="32" s="1"/>
  <c r="H5" i="32" s="1"/>
  <c r="L4" i="32"/>
  <c r="H8" i="32"/>
  <c r="H9" i="32"/>
  <c r="D11" i="32"/>
  <c r="H11" i="32" s="1"/>
  <c r="H37" i="32"/>
  <c r="D38" i="32"/>
  <c r="D39" i="32"/>
  <c r="D40" i="32"/>
  <c r="D41" i="32"/>
  <c r="B43" i="32"/>
  <c r="D46" i="32"/>
  <c r="L2" i="31"/>
  <c r="D11" i="31" s="1"/>
  <c r="H11" i="31" s="1"/>
  <c r="D3" i="31"/>
  <c r="L4" i="31"/>
  <c r="D10" i="31" s="1"/>
  <c r="H10" i="31" s="1"/>
  <c r="H8" i="31"/>
  <c r="H9" i="31"/>
  <c r="B38" i="34"/>
  <c r="B6" i="31"/>
  <c r="B44" i="31"/>
  <c r="B44" i="32"/>
  <c r="F21" i="14"/>
  <c r="I21" i="14" s="1"/>
  <c r="B11" i="32"/>
  <c r="J14" i="14"/>
  <c r="J47" i="14"/>
  <c r="F14" i="14"/>
  <c r="I14" i="14" s="1"/>
  <c r="J13" i="14"/>
  <c r="B41" i="31"/>
  <c r="B40" i="31"/>
  <c r="B39" i="32"/>
  <c r="D6" i="31"/>
  <c r="H3" i="31"/>
  <c r="B7" i="31"/>
  <c r="B42" i="32"/>
  <c r="B46" i="32"/>
  <c r="B42" i="31"/>
  <c r="J55" i="14"/>
  <c r="F44" i="14"/>
  <c r="F41" i="14"/>
  <c r="I41" i="14" s="1"/>
  <c r="F40" i="14"/>
  <c r="F75" i="14"/>
  <c r="F63" i="14"/>
  <c r="J62" i="14"/>
  <c r="J61" i="14"/>
  <c r="F23" i="14"/>
  <c r="D5" i="34"/>
  <c r="H5" i="34" s="1"/>
  <c r="H3" i="34"/>
  <c r="D12" i="34"/>
  <c r="H12" i="34" s="1"/>
  <c r="D6" i="34"/>
  <c r="D7" i="34"/>
  <c r="B38" i="31"/>
  <c r="B42" i="34"/>
  <c r="B41" i="32"/>
  <c r="B6" i="32"/>
  <c r="B10" i="31"/>
  <c r="B7" i="34"/>
  <c r="B43" i="34"/>
  <c r="B11" i="34"/>
  <c r="B6" i="34"/>
  <c r="B41" i="34"/>
  <c r="B45" i="32"/>
  <c r="B40" i="34"/>
  <c r="B11" i="31"/>
  <c r="B10" i="34"/>
  <c r="F27" i="14"/>
  <c r="I27" i="14" s="1"/>
  <c r="L27" i="14" s="1"/>
  <c r="B37" i="34"/>
  <c r="B37" i="31"/>
  <c r="B39" i="34"/>
  <c r="B38" i="32"/>
  <c r="B39" i="31"/>
  <c r="J31" i="14"/>
  <c r="B10" i="32"/>
  <c r="G87" i="14"/>
  <c r="N14" i="14"/>
  <c r="P14" i="14" s="1"/>
  <c r="Q14" i="14" s="1"/>
  <c r="R14" i="14" s="1"/>
  <c r="J12" i="14"/>
  <c r="O180" i="29"/>
  <c r="E19" i="14"/>
  <c r="E25" i="14"/>
  <c r="F25" i="14" s="1"/>
  <c r="I25" i="14" s="1"/>
  <c r="O108" i="29"/>
  <c r="B7" i="32"/>
  <c r="B40" i="32"/>
  <c r="J73" i="14"/>
  <c r="G15" i="13"/>
  <c r="F65" i="14"/>
  <c r="I65" i="14"/>
  <c r="L65" i="14" s="1"/>
  <c r="E66" i="14"/>
  <c r="J66" i="14" s="1"/>
  <c r="E16" i="14"/>
  <c r="F16" i="14" s="1"/>
  <c r="O165" i="29"/>
  <c r="O133" i="29"/>
  <c r="E45" i="14"/>
  <c r="J45" i="14"/>
  <c r="E20" i="14"/>
  <c r="O125" i="29"/>
  <c r="J81" i="14"/>
  <c r="K81" i="14"/>
  <c r="L81" i="14"/>
  <c r="S81" i="14" s="1"/>
  <c r="G88" i="14"/>
  <c r="N31" i="14"/>
  <c r="P31" i="14"/>
  <c r="E10" i="34"/>
  <c r="H10" i="34"/>
  <c r="E10" i="32"/>
  <c r="E10" i="31"/>
  <c r="E7" i="31"/>
  <c r="E7" i="32"/>
  <c r="E7" i="34"/>
  <c r="E6" i="32"/>
  <c r="E6" i="34"/>
  <c r="E6" i="31"/>
  <c r="E11" i="31"/>
  <c r="E11" i="34"/>
  <c r="E11" i="32"/>
  <c r="E42" i="34"/>
  <c r="H42" i="34" s="1"/>
  <c r="E42" i="31"/>
  <c r="J42" i="31" s="1"/>
  <c r="E37" i="31"/>
  <c r="H37" i="31"/>
  <c r="H47" i="31" s="1"/>
  <c r="H48" i="31" s="1"/>
  <c r="E37" i="34"/>
  <c r="H37" i="34" s="1"/>
  <c r="H46" i="34" s="1"/>
  <c r="H47" i="34" s="1"/>
  <c r="E40" i="32"/>
  <c r="H40" i="32" s="1"/>
  <c r="E41" i="31"/>
  <c r="E41" i="34"/>
  <c r="J41" i="34" s="1"/>
  <c r="E38" i="31"/>
  <c r="H38" i="31" s="1"/>
  <c r="E38" i="34"/>
  <c r="H38" i="34" s="1"/>
  <c r="E44" i="32"/>
  <c r="H44" i="32" s="1"/>
  <c r="E45" i="32"/>
  <c r="H45" i="32"/>
  <c r="E41" i="32"/>
  <c r="H41" i="32"/>
  <c r="E44" i="34"/>
  <c r="H44" i="34" s="1"/>
  <c r="E45" i="31"/>
  <c r="H45" i="31" s="1"/>
  <c r="N77" i="14"/>
  <c r="P77" i="14"/>
  <c r="Q77" i="14" s="1"/>
  <c r="R77" i="14" s="1"/>
  <c r="N25" i="14"/>
  <c r="P25" i="14" s="1"/>
  <c r="Q25" i="14" s="1"/>
  <c r="N63" i="14"/>
  <c r="P63" i="14"/>
  <c r="Q63" i="14" s="1"/>
  <c r="R63" i="14" s="1"/>
  <c r="N36" i="14"/>
  <c r="P36" i="14" s="1"/>
  <c r="N60" i="14"/>
  <c r="N69" i="14"/>
  <c r="P69" i="14" s="1"/>
  <c r="N61" i="14"/>
  <c r="P61" i="14"/>
  <c r="N68" i="14"/>
  <c r="P68" i="14" s="1"/>
  <c r="Q68" i="14" s="1"/>
  <c r="N37" i="14"/>
  <c r="P37" i="14"/>
  <c r="Q37" i="14" s="1"/>
  <c r="R37" i="14" s="1"/>
  <c r="N66" i="14"/>
  <c r="P66" i="14" s="1"/>
  <c r="N56" i="14"/>
  <c r="P56" i="14" s="1"/>
  <c r="R56" i="14" s="1"/>
  <c r="N30" i="14"/>
  <c r="P30" i="14" s="1"/>
  <c r="Q30" i="14" s="1"/>
  <c r="N80" i="14"/>
  <c r="P80" i="14" s="1"/>
  <c r="N27" i="14"/>
  <c r="N21" i="14"/>
  <c r="P21" i="14" s="1"/>
  <c r="Q21" i="14" s="1"/>
  <c r="N24" i="14"/>
  <c r="P24" i="14"/>
  <c r="R24" i="14" s="1"/>
  <c r="F60" i="14"/>
  <c r="F58" i="14"/>
  <c r="I58" i="14" s="1"/>
  <c r="E43" i="31"/>
  <c r="H43" i="31" s="1"/>
  <c r="E46" i="32"/>
  <c r="H46" i="32" s="1"/>
  <c r="E38" i="32"/>
  <c r="H38" i="32" s="1"/>
  <c r="E39" i="31"/>
  <c r="H39" i="31"/>
  <c r="E39" i="34"/>
  <c r="H39" i="34" s="1"/>
  <c r="E42" i="32"/>
  <c r="H42" i="32" s="1"/>
  <c r="E43" i="34"/>
  <c r="H43" i="34" s="1"/>
  <c r="E44" i="31"/>
  <c r="H44" i="31" s="1"/>
  <c r="E39" i="32"/>
  <c r="E40" i="31"/>
  <c r="H40" i="31" s="1"/>
  <c r="J40" i="31"/>
  <c r="E40" i="34"/>
  <c r="E43" i="32"/>
  <c r="H43" i="32" s="1"/>
  <c r="J16" i="14"/>
  <c r="J19" i="14"/>
  <c r="F22" i="14"/>
  <c r="I22" i="14" s="1"/>
  <c r="J52" i="14"/>
  <c r="K52" i="14" s="1"/>
  <c r="J25" i="14"/>
  <c r="F19" i="14"/>
  <c r="I19" i="14" s="1"/>
  <c r="L19" i="14" s="1"/>
  <c r="F47" i="14"/>
  <c r="I47" i="14" s="1"/>
  <c r="L47" i="14" s="1"/>
  <c r="N67" i="14"/>
  <c r="P67" i="14" s="1"/>
  <c r="N78" i="14"/>
  <c r="P78" i="14"/>
  <c r="Q78" i="14" s="1"/>
  <c r="R78" i="14" s="1"/>
  <c r="N71" i="14"/>
  <c r="N12" i="14"/>
  <c r="P12" i="14"/>
  <c r="N65" i="14"/>
  <c r="P65" i="14" s="1"/>
  <c r="N23" i="14"/>
  <c r="N19" i="14"/>
  <c r="P19" i="14" s="1"/>
  <c r="N39" i="14"/>
  <c r="P39" i="14"/>
  <c r="N34" i="14"/>
  <c r="P34" i="14"/>
  <c r="R34" i="14" s="1"/>
  <c r="N41" i="14"/>
  <c r="N79" i="14"/>
  <c r="P79" i="14" s="1"/>
  <c r="Q79" i="14" s="1"/>
  <c r="R79" i="14" s="1"/>
  <c r="N59" i="14"/>
  <c r="P59" i="14"/>
  <c r="Q59" i="14" s="1"/>
  <c r="R59" i="14" s="1"/>
  <c r="N38" i="14"/>
  <c r="N47" i="14"/>
  <c r="P47" i="14" s="1"/>
  <c r="N48" i="14"/>
  <c r="P48" i="14" s="1"/>
  <c r="Q48" i="14" s="1"/>
  <c r="N33" i="14"/>
  <c r="P33" i="14" s="1"/>
  <c r="Q33" i="14" s="1"/>
  <c r="R33" i="14" s="1"/>
  <c r="N72" i="14"/>
  <c r="P72" i="14" s="1"/>
  <c r="Q72" i="14" s="1"/>
  <c r="N70" i="14"/>
  <c r="P70" i="14" s="1"/>
  <c r="Q70" i="14" s="1"/>
  <c r="R70" i="14" s="1"/>
  <c r="N26" i="14"/>
  <c r="P26" i="14" s="1"/>
  <c r="N18" i="14"/>
  <c r="P18" i="14" s="1"/>
  <c r="Q18" i="14" s="1"/>
  <c r="R18" i="14" s="1"/>
  <c r="J42" i="34"/>
  <c r="Q56" i="14"/>
  <c r="J57" i="14"/>
  <c r="F45" i="14"/>
  <c r="I45" i="14" s="1"/>
  <c r="L45" i="14" s="1"/>
  <c r="J43" i="31"/>
  <c r="F57" i="14"/>
  <c r="I57" i="14" s="1"/>
  <c r="R81" i="14"/>
  <c r="H42" i="31"/>
  <c r="Q84" i="14"/>
  <c r="R84" i="14" s="1"/>
  <c r="Q82" i="14"/>
  <c r="R82" i="14"/>
  <c r="Q32" i="14"/>
  <c r="R32" i="14" s="1"/>
  <c r="H7" i="34"/>
  <c r="Q19" i="14"/>
  <c r="R19" i="14"/>
  <c r="Q52" i="14"/>
  <c r="R52" i="14" s="1"/>
  <c r="Q51" i="14"/>
  <c r="R51" i="14" s="1"/>
  <c r="Q50" i="14"/>
  <c r="R50" i="14" s="1"/>
  <c r="Q61" i="14"/>
  <c r="R61" i="14" s="1"/>
  <c r="Q62" i="14"/>
  <c r="Q17" i="14"/>
  <c r="R17" i="14" s="1"/>
  <c r="Q16" i="14"/>
  <c r="R16" i="14" s="1"/>
  <c r="Q39" i="14"/>
  <c r="Q24" i="14"/>
  <c r="Q31" i="14"/>
  <c r="R31" i="14"/>
  <c r="Q64" i="14"/>
  <c r="R64" i="14"/>
  <c r="Q67" i="14"/>
  <c r="R67" i="14"/>
  <c r="Q73" i="14"/>
  <c r="R73" i="14" s="1"/>
  <c r="Q69" i="14"/>
  <c r="R69" i="14"/>
  <c r="Q34" i="14"/>
  <c r="F51" i="14" l="1"/>
  <c r="J51" i="14"/>
  <c r="J30" i="14"/>
  <c r="F30" i="14"/>
  <c r="I30" i="14" s="1"/>
  <c r="R66" i="14"/>
  <c r="Q66" i="14"/>
  <c r="J38" i="14"/>
  <c r="F38" i="14"/>
  <c r="I38" i="14" s="1"/>
  <c r="L38" i="14" s="1"/>
  <c r="K31" i="14"/>
  <c r="S31" i="14" s="1"/>
  <c r="L31" i="14"/>
  <c r="J39" i="14"/>
  <c r="F39" i="14"/>
  <c r="F66" i="14"/>
  <c r="I66" i="14" s="1"/>
  <c r="L66" i="14" s="1"/>
  <c r="F76" i="14"/>
  <c r="I76" i="14" s="1"/>
  <c r="J20" i="14"/>
  <c r="F20" i="14"/>
  <c r="N58" i="14"/>
  <c r="P58" i="14" s="1"/>
  <c r="N57" i="14"/>
  <c r="P57" i="14" s="1"/>
  <c r="Q57" i="14" s="1"/>
  <c r="R57" i="14" s="1"/>
  <c r="N28" i="14"/>
  <c r="P28" i="14" s="1"/>
  <c r="Q28" i="14" s="1"/>
  <c r="N76" i="14"/>
  <c r="P76" i="14" s="1"/>
  <c r="N46" i="14"/>
  <c r="P46" i="14" s="1"/>
  <c r="Q46" i="14" s="1"/>
  <c r="R46" i="14" s="1"/>
  <c r="N40" i="14"/>
  <c r="P40" i="14" s="1"/>
  <c r="N49" i="14"/>
  <c r="P49" i="14" s="1"/>
  <c r="R49" i="14" s="1"/>
  <c r="N22" i="14"/>
  <c r="P22" i="14" s="1"/>
  <c r="N20" i="14"/>
  <c r="P20" i="14" s="1"/>
  <c r="Q20" i="14" s="1"/>
  <c r="N75" i="14"/>
  <c r="P75" i="14" s="1"/>
  <c r="Q75" i="14" s="1"/>
  <c r="R75" i="14" s="1"/>
  <c r="N15" i="14"/>
  <c r="P15" i="14" s="1"/>
  <c r="N44" i="14"/>
  <c r="P44" i="14" s="1"/>
  <c r="Q44" i="14" s="1"/>
  <c r="N29" i="14"/>
  <c r="P29" i="14" s="1"/>
  <c r="Q29" i="14" s="1"/>
  <c r="F64" i="14"/>
  <c r="I64" i="14" s="1"/>
  <c r="I39" i="14"/>
  <c r="L39" i="14" s="1"/>
  <c r="H6" i="31"/>
  <c r="J82" i="14"/>
  <c r="K82" i="14" s="1"/>
  <c r="J43" i="14"/>
  <c r="F43" i="14"/>
  <c r="I43" i="14" s="1"/>
  <c r="L43" i="14" s="1"/>
  <c r="J34" i="14"/>
  <c r="F34" i="14"/>
  <c r="I34" i="14" s="1"/>
  <c r="L34" i="14" s="1"/>
  <c r="R68" i="14"/>
  <c r="R25" i="14"/>
  <c r="R21" i="14"/>
  <c r="H49" i="31"/>
  <c r="H50" i="31" s="1"/>
  <c r="H51" i="31" s="1"/>
  <c r="H52" i="31" s="1"/>
  <c r="R39" i="14"/>
  <c r="J41" i="31"/>
  <c r="H41" i="31"/>
  <c r="F24" i="14"/>
  <c r="I24" i="14" s="1"/>
  <c r="L24" i="14" s="1"/>
  <c r="K79" i="14"/>
  <c r="I67" i="14"/>
  <c r="L67" i="14" s="1"/>
  <c r="J67" i="14"/>
  <c r="J60" i="14"/>
  <c r="I60" i="14"/>
  <c r="K60" i="14" s="1"/>
  <c r="P23" i="14"/>
  <c r="F36" i="14"/>
  <c r="I36" i="14" s="1"/>
  <c r="L36" i="14" s="1"/>
  <c r="K73" i="14"/>
  <c r="S73" i="14" s="1"/>
  <c r="F70" i="14"/>
  <c r="I70" i="14" s="1"/>
  <c r="L70" i="14" s="1"/>
  <c r="H3" i="32"/>
  <c r="Q12" i="14"/>
  <c r="R12" i="14" s="1"/>
  <c r="P41" i="14"/>
  <c r="P71" i="14"/>
  <c r="J40" i="34"/>
  <c r="H40" i="34"/>
  <c r="N13" i="14"/>
  <c r="P13" i="14" s="1"/>
  <c r="N43" i="14"/>
  <c r="P43" i="14" s="1"/>
  <c r="Q43" i="14" s="1"/>
  <c r="N45" i="14"/>
  <c r="P45" i="14" s="1"/>
  <c r="Q45" i="14" s="1"/>
  <c r="F77" i="14"/>
  <c r="I77" i="14" s="1"/>
  <c r="D6" i="32"/>
  <c r="H6" i="32" s="1"/>
  <c r="K41" i="14"/>
  <c r="L41" i="14"/>
  <c r="I62" i="14"/>
  <c r="L62" i="14" s="1"/>
  <c r="P83" i="14"/>
  <c r="J78" i="14"/>
  <c r="J68" i="14"/>
  <c r="F68" i="14"/>
  <c r="I68" i="14"/>
  <c r="L68" i="14" s="1"/>
  <c r="K65" i="14"/>
  <c r="P55" i="14"/>
  <c r="Q55" i="14" s="1"/>
  <c r="H39" i="32"/>
  <c r="H6" i="34"/>
  <c r="H14" i="34" s="1"/>
  <c r="P74" i="14"/>
  <c r="Q74" i="14" s="1"/>
  <c r="R74" i="14" s="1"/>
  <c r="R62" i="14"/>
  <c r="P60" i="14"/>
  <c r="Q23" i="14"/>
  <c r="R23" i="14" s="1"/>
  <c r="Q36" i="14"/>
  <c r="R36" i="14" s="1"/>
  <c r="Q49" i="14"/>
  <c r="K57" i="14"/>
  <c r="S57" i="14" s="1"/>
  <c r="L57" i="14"/>
  <c r="Q26" i="14"/>
  <c r="R26" i="14"/>
  <c r="Q47" i="14"/>
  <c r="R47" i="14" s="1"/>
  <c r="Q65" i="14"/>
  <c r="R65" i="14" s="1"/>
  <c r="S84" i="14"/>
  <c r="K19" i="14"/>
  <c r="J75" i="14"/>
  <c r="K75" i="14" s="1"/>
  <c r="S75" i="14" s="1"/>
  <c r="I75" i="14"/>
  <c r="L75" i="14" s="1"/>
  <c r="I72" i="14"/>
  <c r="L72" i="14" s="1"/>
  <c r="I63" i="14"/>
  <c r="L63" i="14" s="1"/>
  <c r="J63" i="14"/>
  <c r="P53" i="14"/>
  <c r="R44" i="14"/>
  <c r="R30" i="14"/>
  <c r="D7" i="31"/>
  <c r="H7" i="31" s="1"/>
  <c r="K47" i="14"/>
  <c r="D4" i="31"/>
  <c r="H4" i="31" s="1"/>
  <c r="D5" i="31"/>
  <c r="H5" i="31" s="1"/>
  <c r="D12" i="31"/>
  <c r="H12" i="31" s="1"/>
  <c r="D7" i="32"/>
  <c r="H7" i="32" s="1"/>
  <c r="D10" i="32"/>
  <c r="H10" i="32" s="1"/>
  <c r="K78" i="14"/>
  <c r="F61" i="14"/>
  <c r="I61" i="14" s="1"/>
  <c r="J56" i="14"/>
  <c r="F56" i="14"/>
  <c r="I56" i="14" s="1"/>
  <c r="L56" i="14" s="1"/>
  <c r="F55" i="14"/>
  <c r="I55" i="14" s="1"/>
  <c r="J53" i="14"/>
  <c r="F53" i="14"/>
  <c r="I53" i="14" s="1"/>
  <c r="L53" i="14" s="1"/>
  <c r="J40" i="14"/>
  <c r="I40" i="14"/>
  <c r="L40" i="14" s="1"/>
  <c r="K36" i="14"/>
  <c r="J35" i="14"/>
  <c r="F35" i="14"/>
  <c r="I35" i="14" s="1"/>
  <c r="L35" i="14" s="1"/>
  <c r="Q76" i="14"/>
  <c r="R76" i="14" s="1"/>
  <c r="H48" i="34"/>
  <c r="H49" i="34" s="1"/>
  <c r="H50" i="34" s="1"/>
  <c r="H51" i="34" s="1"/>
  <c r="R20" i="14"/>
  <c r="R29" i="14"/>
  <c r="R72" i="14"/>
  <c r="P27" i="14"/>
  <c r="L82" i="14"/>
  <c r="S82" i="14" s="1"/>
  <c r="G19" i="13"/>
  <c r="G21" i="13" s="1"/>
  <c r="K62" i="14"/>
  <c r="S62" i="14" s="1"/>
  <c r="J32" i="14"/>
  <c r="I32" i="14"/>
  <c r="L32" i="14" s="1"/>
  <c r="R48" i="14"/>
  <c r="I48" i="14"/>
  <c r="L48" i="14" s="1"/>
  <c r="S52" i="14"/>
  <c r="J48" i="14"/>
  <c r="K45" i="14"/>
  <c r="S45" i="14" s="1"/>
  <c r="K66" i="14"/>
  <c r="H48" i="32"/>
  <c r="D12" i="32"/>
  <c r="H12" i="32" s="1"/>
  <c r="D4" i="32"/>
  <c r="H4" i="32" s="1"/>
  <c r="H14" i="32" s="1"/>
  <c r="P54" i="14"/>
  <c r="J44" i="14"/>
  <c r="I44" i="14"/>
  <c r="L44" i="14" s="1"/>
  <c r="K39" i="14"/>
  <c r="S39" i="14" s="1"/>
  <c r="J28" i="14"/>
  <c r="F28" i="14"/>
  <c r="I28" i="14" s="1"/>
  <c r="L28" i="14" s="1"/>
  <c r="R55" i="14"/>
  <c r="R45" i="14"/>
  <c r="Q80" i="14"/>
  <c r="R80" i="14" s="1"/>
  <c r="S80" i="14" s="1"/>
  <c r="H41" i="34"/>
  <c r="P38" i="14"/>
  <c r="K69" i="14"/>
  <c r="S69" i="14" s="1"/>
  <c r="F74" i="14"/>
  <c r="I74" i="14" s="1"/>
  <c r="L74" i="14" s="1"/>
  <c r="J74" i="14"/>
  <c r="J71" i="14"/>
  <c r="F71" i="14"/>
  <c r="I71" i="14" s="1"/>
  <c r="L71" i="14" s="1"/>
  <c r="F54" i="14"/>
  <c r="I54" i="14" s="1"/>
  <c r="L54" i="14" s="1"/>
  <c r="J54" i="14"/>
  <c r="J46" i="14"/>
  <c r="F46" i="14"/>
  <c r="I46" i="14" s="1"/>
  <c r="L46" i="14" s="1"/>
  <c r="P42" i="14"/>
  <c r="J37" i="14"/>
  <c r="I37" i="14"/>
  <c r="L37" i="14" s="1"/>
  <c r="R35" i="14"/>
  <c r="J33" i="14"/>
  <c r="K33" i="14" s="1"/>
  <c r="S33" i="14" s="1"/>
  <c r="F33" i="14"/>
  <c r="I33" i="14" s="1"/>
  <c r="L33" i="14" s="1"/>
  <c r="H11" i="34"/>
  <c r="I51" i="14"/>
  <c r="L51" i="14" s="1"/>
  <c r="J50" i="14"/>
  <c r="K50" i="14" s="1"/>
  <c r="K42" i="14"/>
  <c r="K24" i="14"/>
  <c r="S24" i="14" s="1"/>
  <c r="J72" i="14"/>
  <c r="K72" i="14" s="1"/>
  <c r="S72" i="14" s="1"/>
  <c r="H17" i="40"/>
  <c r="H22" i="40" s="1"/>
  <c r="N17" i="40"/>
  <c r="N22" i="40" s="1"/>
  <c r="L17" i="40"/>
  <c r="L22" i="40" s="1"/>
  <c r="L50" i="14"/>
  <c r="L25" i="14"/>
  <c r="K25" i="14"/>
  <c r="K21" i="14"/>
  <c r="L21" i="14"/>
  <c r="K22" i="14"/>
  <c r="L22" i="14"/>
  <c r="K27" i="14"/>
  <c r="K58" i="14"/>
  <c r="L58" i="14"/>
  <c r="L14" i="14"/>
  <c r="K14" i="14"/>
  <c r="S19" i="14"/>
  <c r="L60" i="14"/>
  <c r="I20" i="14"/>
  <c r="L20" i="14" s="1"/>
  <c r="E26" i="14"/>
  <c r="I16" i="14"/>
  <c r="L16" i="14" s="1"/>
  <c r="I18" i="14"/>
  <c r="L18" i="14" s="1"/>
  <c r="F17" i="14"/>
  <c r="I17" i="14" s="1"/>
  <c r="L17" i="14" s="1"/>
  <c r="I12" i="14"/>
  <c r="L12" i="14" s="1"/>
  <c r="I23" i="14"/>
  <c r="L23" i="14" s="1"/>
  <c r="F13" i="14"/>
  <c r="I13" i="14" s="1"/>
  <c r="F29" i="14"/>
  <c r="I29" i="14" s="1"/>
  <c r="L29" i="14" s="1"/>
  <c r="J49" i="14"/>
  <c r="K49" i="14" s="1"/>
  <c r="J15" i="14"/>
  <c r="K15" i="14" s="1"/>
  <c r="J18" i="14"/>
  <c r="K18" i="14" s="1"/>
  <c r="S18" i="14" s="1"/>
  <c r="J59" i="14"/>
  <c r="K59" i="14" s="1"/>
  <c r="S59" i="14" s="1"/>
  <c r="J17" i="14"/>
  <c r="J29" i="14"/>
  <c r="J22" i="40"/>
  <c r="K77" i="14" l="1"/>
  <c r="L77" i="14"/>
  <c r="S77" i="14" s="1"/>
  <c r="K30" i="14"/>
  <c r="L30" i="14"/>
  <c r="H15" i="34"/>
  <c r="H16" i="34"/>
  <c r="S30" i="14"/>
  <c r="Q71" i="14"/>
  <c r="R71" i="14" s="1"/>
  <c r="Q15" i="14"/>
  <c r="R15" i="14"/>
  <c r="S15" i="14" s="1"/>
  <c r="S21" i="14"/>
  <c r="R43" i="14"/>
  <c r="R28" i="14"/>
  <c r="Q60" i="14"/>
  <c r="R60" i="14" s="1"/>
  <c r="S60" i="14" s="1"/>
  <c r="Q83" i="14"/>
  <c r="R83" i="14"/>
  <c r="S83" i="14" s="1"/>
  <c r="Q13" i="14"/>
  <c r="R13" i="14"/>
  <c r="Q41" i="14"/>
  <c r="R41" i="14" s="1"/>
  <c r="S41" i="14" s="1"/>
  <c r="L79" i="14"/>
  <c r="S79" i="14"/>
  <c r="L64" i="14"/>
  <c r="K64" i="14"/>
  <c r="S64" i="14" s="1"/>
  <c r="Q40" i="14"/>
  <c r="R40" i="14"/>
  <c r="K76" i="14"/>
  <c r="S76" i="14" s="1"/>
  <c r="L76" i="14"/>
  <c r="K44" i="14"/>
  <c r="S44" i="14" s="1"/>
  <c r="K32" i="14"/>
  <c r="S32" i="14" s="1"/>
  <c r="K56" i="14"/>
  <c r="S56" i="14" s="1"/>
  <c r="K43" i="14"/>
  <c r="Q58" i="14"/>
  <c r="R58" i="14"/>
  <c r="K38" i="14"/>
  <c r="K70" i="14"/>
  <c r="S70" i="14" s="1"/>
  <c r="S49" i="14"/>
  <c r="S58" i="14"/>
  <c r="K37" i="14"/>
  <c r="S37" i="14" s="1"/>
  <c r="S66" i="14"/>
  <c r="S65" i="14"/>
  <c r="K68" i="14"/>
  <c r="S68" i="14" s="1"/>
  <c r="K67" i="14"/>
  <c r="S67" i="14" s="1"/>
  <c r="K34" i="14"/>
  <c r="S34" i="14" s="1"/>
  <c r="Q22" i="14"/>
  <c r="R22" i="14" s="1"/>
  <c r="S22" i="14" s="1"/>
  <c r="L61" i="14"/>
  <c r="K61" i="14"/>
  <c r="S61" i="14" s="1"/>
  <c r="L55" i="14"/>
  <c r="K55" i="14"/>
  <c r="K74" i="14"/>
  <c r="S74" i="14" s="1"/>
  <c r="K54" i="14"/>
  <c r="J48" i="32"/>
  <c r="H49" i="32"/>
  <c r="H50" i="32"/>
  <c r="Q27" i="14"/>
  <c r="R27" i="14" s="1"/>
  <c r="S27" i="14" s="1"/>
  <c r="K40" i="14"/>
  <c r="S40" i="14" s="1"/>
  <c r="H17" i="34"/>
  <c r="H18" i="34" s="1"/>
  <c r="H19" i="34" s="1"/>
  <c r="S50" i="14"/>
  <c r="K51" i="14"/>
  <c r="S51" i="14" s="1"/>
  <c r="Q42" i="14"/>
  <c r="R42" i="14" s="1"/>
  <c r="S42" i="14" s="1"/>
  <c r="Q54" i="14"/>
  <c r="R54" i="14" s="1"/>
  <c r="K48" i="14"/>
  <c r="S48" i="14" s="1"/>
  <c r="K35" i="14"/>
  <c r="S35" i="14" s="1"/>
  <c r="K53" i="14"/>
  <c r="H14" i="31"/>
  <c r="Q53" i="14"/>
  <c r="R53" i="14" s="1"/>
  <c r="K71" i="14"/>
  <c r="Q38" i="14"/>
  <c r="R38" i="14" s="1"/>
  <c r="S38" i="14" s="1"/>
  <c r="K28" i="14"/>
  <c r="S28" i="14" s="1"/>
  <c r="H16" i="32"/>
  <c r="H17" i="32" s="1"/>
  <c r="H18" i="32" s="1"/>
  <c r="H19" i="32" s="1"/>
  <c r="H15" i="32"/>
  <c r="S36" i="14"/>
  <c r="L78" i="14"/>
  <c r="S78" i="14" s="1"/>
  <c r="S47" i="14"/>
  <c r="K63" i="14"/>
  <c r="S63" i="14" s="1"/>
  <c r="L13" i="14"/>
  <c r="K13" i="14"/>
  <c r="K17" i="14"/>
  <c r="S17" i="14" s="1"/>
  <c r="K46" i="14"/>
  <c r="S46" i="14" s="1"/>
  <c r="K16" i="14"/>
  <c r="S16" i="14" s="1"/>
  <c r="K29" i="14"/>
  <c r="S29" i="14" s="1"/>
  <c r="S14" i="14"/>
  <c r="K12" i="14"/>
  <c r="S12" i="14" s="1"/>
  <c r="K20" i="14"/>
  <c r="S20" i="14" s="1"/>
  <c r="J26" i="14"/>
  <c r="F26" i="14"/>
  <c r="I26" i="14" s="1"/>
  <c r="L26" i="14" s="1"/>
  <c r="K23" i="14"/>
  <c r="S23" i="14" s="1"/>
  <c r="S25" i="14"/>
  <c r="N24" i="40"/>
  <c r="N25" i="40" s="1"/>
  <c r="N26" i="40"/>
  <c r="S71" i="14" l="1"/>
  <c r="H51" i="32"/>
  <c r="H52" i="32" s="1"/>
  <c r="H53" i="32" s="1"/>
  <c r="S43" i="14"/>
  <c r="S55" i="14"/>
  <c r="H16" i="31"/>
  <c r="H15" i="31"/>
  <c r="S54" i="14"/>
  <c r="S53" i="14"/>
  <c r="K26" i="14"/>
  <c r="S26" i="14" s="1"/>
  <c r="S13" i="14"/>
  <c r="N28" i="40"/>
  <c r="H17" i="31" l="1"/>
  <c r="H18" i="31" s="1"/>
  <c r="H19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Borelli</author>
    <author>SOP</author>
    <author>Pablo Daniel Gutierrez</author>
  </authors>
  <commentList>
    <comment ref="G31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Javier Borelli:</t>
        </r>
        <r>
          <rPr>
            <sz val="8"/>
            <color indexed="81"/>
            <rFont val="Tahoma"/>
            <family val="2"/>
          </rPr>
          <t xml:space="preserve">
1,03433 es la variac. de dólar con respecto a Julio.</t>
        </r>
      </text>
    </comment>
    <comment ref="G368" authorId="1" shapeId="0" xr:uid="{00000000-0006-0000-0700-000002000000}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I369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Javier:</t>
        </r>
        <r>
          <rPr>
            <sz val="8"/>
            <color indexed="81"/>
            <rFont val="Tahoma"/>
            <family val="2"/>
          </rPr>
          <t xml:space="preserve">
en setiembre aumentó un 10% en todos los insumos
</t>
        </r>
      </text>
    </comment>
    <comment ref="G390" authorId="2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Cotiza CEAR
</t>
        </r>
      </text>
    </comment>
  </commentList>
</comments>
</file>

<file path=xl/sharedStrings.xml><?xml version="1.0" encoding="utf-8"?>
<sst xmlns="http://schemas.openxmlformats.org/spreadsheetml/2006/main" count="3528" uniqueCount="2006">
  <si>
    <t>Costo</t>
  </si>
  <si>
    <t>Unidad</t>
  </si>
  <si>
    <t>TOTAL</t>
  </si>
  <si>
    <t>Lubricantes</t>
  </si>
  <si>
    <t>Intereses</t>
  </si>
  <si>
    <t>Combustibles</t>
  </si>
  <si>
    <t>Barredora sopladora</t>
  </si>
  <si>
    <t>m</t>
  </si>
  <si>
    <t>U</t>
  </si>
  <si>
    <t>m3</t>
  </si>
  <si>
    <t>Potencia</t>
  </si>
  <si>
    <t>gl</t>
  </si>
  <si>
    <t>%</t>
  </si>
  <si>
    <t>rollo</t>
  </si>
  <si>
    <t>m2</t>
  </si>
  <si>
    <t>Nafta</t>
  </si>
  <si>
    <t>kg</t>
  </si>
  <si>
    <t>(2)</t>
  </si>
  <si>
    <t>(3)</t>
  </si>
  <si>
    <t>(6)</t>
  </si>
  <si>
    <t>Obra:</t>
  </si>
  <si>
    <t>Tramo:</t>
  </si>
  <si>
    <t>Sección:</t>
  </si>
  <si>
    <t>PLANILLA DE COSTO HORARIO DE EQUIPOS A AFECTAR A LA OBRA</t>
  </si>
  <si>
    <t>N°</t>
  </si>
  <si>
    <t>Designación</t>
  </si>
  <si>
    <t>Valor</t>
  </si>
  <si>
    <t>Vida</t>
  </si>
  <si>
    <t>Uso</t>
  </si>
  <si>
    <t>Costo de Amortización e Intereses</t>
  </si>
  <si>
    <t>Reparac. y</t>
  </si>
  <si>
    <t>U$S</t>
  </si>
  <si>
    <t>de</t>
  </si>
  <si>
    <t>del Equipo</t>
  </si>
  <si>
    <t>Actual</t>
  </si>
  <si>
    <t>Residual</t>
  </si>
  <si>
    <t>Útil</t>
  </si>
  <si>
    <t>anual</t>
  </si>
  <si>
    <t>Amortiza-</t>
  </si>
  <si>
    <t>Suma</t>
  </si>
  <si>
    <t>Repuestos</t>
  </si>
  <si>
    <t>Tipo</t>
  </si>
  <si>
    <t>Precio Unit.</t>
  </si>
  <si>
    <t>Consumo</t>
  </si>
  <si>
    <t>y Lubricantes</t>
  </si>
  <si>
    <t>Horario Total</t>
  </si>
  <si>
    <t>Orden</t>
  </si>
  <si>
    <t>($)</t>
  </si>
  <si>
    <t>(hr)</t>
  </si>
  <si>
    <t>($ / hr)</t>
  </si>
  <si>
    <t>(lt / h.HP)</t>
  </si>
  <si>
    <t>(1)</t>
  </si>
  <si>
    <t>(4)</t>
  </si>
  <si>
    <t>(7)</t>
  </si>
  <si>
    <t>(8) = *</t>
  </si>
  <si>
    <t>(9) = **</t>
  </si>
  <si>
    <t>(10)= (8)+(9)</t>
  </si>
  <si>
    <t>(11) = 80%(10)</t>
  </si>
  <si>
    <t>(12)</t>
  </si>
  <si>
    <t>(13)</t>
  </si>
  <si>
    <t>(14)</t>
  </si>
  <si>
    <t>(15) = (13)*(14)*(3)</t>
  </si>
  <si>
    <t>(17) = (15)+(16)</t>
  </si>
  <si>
    <t>(18) = (17)+(10)+(11)</t>
  </si>
  <si>
    <t>Aplanadora (doble tambor vibratorio)</t>
  </si>
  <si>
    <t>Gasoil</t>
  </si>
  <si>
    <t>Genérica</t>
  </si>
  <si>
    <t>Aserradora de juntas</t>
  </si>
  <si>
    <t>Autocompactador pata de cabra 145 HP</t>
  </si>
  <si>
    <t>CAT 533</t>
  </si>
  <si>
    <t>en este precio se incluye también la cáscara con pata de cabra</t>
  </si>
  <si>
    <t>Autocompactador pata de cabra 170 HP</t>
  </si>
  <si>
    <t>CAT 815</t>
  </si>
  <si>
    <t>Barredora Sopladora</t>
  </si>
  <si>
    <t>Fracchia</t>
  </si>
  <si>
    <t>Bomba de agua Flygh</t>
  </si>
  <si>
    <t>Camión con Batea volcadora</t>
  </si>
  <si>
    <t>Ford Cargo  1831</t>
  </si>
  <si>
    <t>Camión con Hidrogrúa</t>
  </si>
  <si>
    <t>Ford 14000</t>
  </si>
  <si>
    <t>Camión Mixer 6x4 (7m3)</t>
  </si>
  <si>
    <t>Mack</t>
  </si>
  <si>
    <t>Camión Regador de Agua ( 8 m3)</t>
  </si>
  <si>
    <t>Camión Regador de Asfalto</t>
  </si>
  <si>
    <t>Camión Roquero</t>
  </si>
  <si>
    <t>Camión Tractor</t>
  </si>
  <si>
    <t>Camión Volcador 4x2 ( 8 m3)</t>
  </si>
  <si>
    <t>Camión Volcador 6x4 ( 14 m3)</t>
  </si>
  <si>
    <t>Camioneta doble cabina</t>
  </si>
  <si>
    <t>Camioneta doble cabina 4x4</t>
  </si>
  <si>
    <t>Cargador Frontal 140 HP</t>
  </si>
  <si>
    <t>CAT 924</t>
  </si>
  <si>
    <t>Cargador Frontal 160 HP</t>
  </si>
  <si>
    <t>CAT 938</t>
  </si>
  <si>
    <t>Cargador Frontal 180 HP</t>
  </si>
  <si>
    <t>CAT 950</t>
  </si>
  <si>
    <t>Carretón 40 tn</t>
  </si>
  <si>
    <t>Compactador Manual</t>
  </si>
  <si>
    <t>Compresor 63 HP</t>
  </si>
  <si>
    <t>Desmalezadora</t>
  </si>
  <si>
    <t>Estabilizador de Suelos / Reclamadora</t>
  </si>
  <si>
    <t>CAT RR250</t>
  </si>
  <si>
    <t>Fresadora ancho 1 m</t>
  </si>
  <si>
    <t>Wirtgen 1000</t>
  </si>
  <si>
    <t>Fresadora ancho 2 m</t>
  </si>
  <si>
    <t>Wirtgen 2000</t>
  </si>
  <si>
    <t>Grúa</t>
  </si>
  <si>
    <t>GROVE AT-400</t>
  </si>
  <si>
    <t>Grupo Electrógeno  60 HP</t>
  </si>
  <si>
    <t>Grupo Electrógeno  400 HP</t>
  </si>
  <si>
    <t>CAT 3408</t>
  </si>
  <si>
    <t>Herramientas Varias</t>
  </si>
  <si>
    <t>Hormigonera 200 lt</t>
  </si>
  <si>
    <t>Martillo Neumático</t>
  </si>
  <si>
    <t>Motobomba  6 HP</t>
  </si>
  <si>
    <t>Motobomba 60 HP</t>
  </si>
  <si>
    <t>Motoniveladora  170 HP</t>
  </si>
  <si>
    <t>CAT 140 H</t>
  </si>
  <si>
    <t>Motosierra</t>
  </si>
  <si>
    <t>Mototrailla 8 m3</t>
  </si>
  <si>
    <t>CAT 613 B</t>
  </si>
  <si>
    <t>Planta de Hormgión ( 60m3/hr)</t>
  </si>
  <si>
    <t>Indumix</t>
  </si>
  <si>
    <t>Planta de Estabilizado ( 200 m3/hr)</t>
  </si>
  <si>
    <t>Ferroni</t>
  </si>
  <si>
    <t>Planta Asfáltica ( 70 m3/hr, incluye tanques)</t>
  </si>
  <si>
    <t>Ciber (incluye grupo electrógeno)</t>
  </si>
  <si>
    <t>Planta Asfáltica ( 100 m3/hr, incluye tanques)</t>
  </si>
  <si>
    <t>Ermon-Marini</t>
  </si>
  <si>
    <t>Planta Trituradora (Mandíbula y 1 Cono)</t>
  </si>
  <si>
    <t>Rastra  24 DIS-26"</t>
  </si>
  <si>
    <t>Retro-Cargadora  78 HP</t>
  </si>
  <si>
    <t>CAT 416</t>
  </si>
  <si>
    <t>Retro-excavadora 128 HP</t>
  </si>
  <si>
    <t>CAT 320</t>
  </si>
  <si>
    <t>Retro-excavadora 230 HP</t>
  </si>
  <si>
    <t>CAT 330</t>
  </si>
  <si>
    <t>Rodillo neumático autopropulsado</t>
  </si>
  <si>
    <t>Dynapac CP 30</t>
  </si>
  <si>
    <t>Rodillo liso vibrante</t>
  </si>
  <si>
    <t>Rodillo combinado 40 HP</t>
  </si>
  <si>
    <t>Dynapac CC 142</t>
  </si>
  <si>
    <t>Sellador de fisuras</t>
  </si>
  <si>
    <t>Grafco</t>
  </si>
  <si>
    <t>Semirremolque mixer 9 m3</t>
  </si>
  <si>
    <t>Semirremolque tanque 18 m3</t>
  </si>
  <si>
    <t>Indecar</t>
  </si>
  <si>
    <t>Terminadora de asfalto 130 HP</t>
  </si>
  <si>
    <t>Bitelli</t>
  </si>
  <si>
    <t>Terminadora de asfalto 150 HP</t>
  </si>
  <si>
    <t>Blaw-knox PF 3200</t>
  </si>
  <si>
    <t>Topadora  180 HP</t>
  </si>
  <si>
    <t>CAT D6R</t>
  </si>
  <si>
    <t>Topadora  300 HP</t>
  </si>
  <si>
    <t>CAT D8R</t>
  </si>
  <si>
    <t>Tractor  130 HP</t>
  </si>
  <si>
    <t>Tractor 170 HP 4x4</t>
  </si>
  <si>
    <t>Tunelera</t>
  </si>
  <si>
    <t>Vibrador de inmersión</t>
  </si>
  <si>
    <t>Super-vibro</t>
  </si>
  <si>
    <t>Zaranda y Grilla</t>
  </si>
  <si>
    <t>Tec-maq</t>
  </si>
  <si>
    <t>Balanza</t>
  </si>
  <si>
    <t>Camión con equipo de aplicación señaliz. Horizontal</t>
  </si>
  <si>
    <t>Perforadora rotativa para pilotes</t>
  </si>
  <si>
    <t>Motoniveladora - 143</t>
  </si>
  <si>
    <t>Equipo de soldadura</t>
  </si>
  <si>
    <t>Cortadora de hierro</t>
  </si>
  <si>
    <t>Dobladora de hierro</t>
  </si>
  <si>
    <t xml:space="preserve"> (*)</t>
  </si>
  <si>
    <t>Amortizac. = (Costo Actual - Valor Residual) / Vida Útil   ((4) - (5)) / (6)</t>
  </si>
  <si>
    <t>Gasoil :</t>
  </si>
  <si>
    <t>Valor Residual: ……</t>
  </si>
  <si>
    <t>Consumo gasoil:</t>
  </si>
  <si>
    <t>(**)</t>
  </si>
  <si>
    <t>Intereses =  (Costo Actual x 0,5 x i ) / (Uso Anual x 100)</t>
  </si>
  <si>
    <t>Nafta:</t>
  </si>
  <si>
    <t>Reparaciones y Rep.</t>
  </si>
  <si>
    <t>Consumo Lubricantes:</t>
  </si>
  <si>
    <t>de combustible</t>
  </si>
  <si>
    <t>i  =</t>
  </si>
  <si>
    <t>Fusor de asfalto</t>
  </si>
  <si>
    <t xml:space="preserve">Regla vibratoria para Hº </t>
  </si>
  <si>
    <t>Item</t>
  </si>
  <si>
    <t>u</t>
  </si>
  <si>
    <t>Replanteo y Topografía</t>
  </si>
  <si>
    <t>Excavación para apertura de caja</t>
  </si>
  <si>
    <t>Precio Unitario</t>
  </si>
  <si>
    <t>Nº</t>
  </si>
  <si>
    <t>Provisión y Colocación de Geotextil</t>
  </si>
  <si>
    <t>Reparación de Juntas, Fisuras y Grietas</t>
  </si>
  <si>
    <t>Nivelación de marcos, tapas y boca de registro.</t>
  </si>
  <si>
    <t>Ejecución de Pavimento de HºSº-Espesor = 0,20 m para bacheo</t>
  </si>
  <si>
    <t>Preparación de Subrasante 0,10 m de Espesor para Bacheo</t>
  </si>
  <si>
    <t>Ejecución de base granular estabilizada para Bacheo.</t>
  </si>
  <si>
    <t xml:space="preserve">Ejecución de Pavimento de HºSº-Espesor = 0,15 m </t>
  </si>
  <si>
    <t xml:space="preserve">Ejecución de Pavimento de HºSº-Espesor = 0,20 m </t>
  </si>
  <si>
    <t>Ejecución de Pavimento de HºSº-Espesor = 0,20 m para badenes y bocacalles</t>
  </si>
  <si>
    <t>Ejecución de Cordón Cuneta de 0,15 m de espesor y 1,00 m de desarrollo</t>
  </si>
  <si>
    <t xml:space="preserve">Movilización de Obra </t>
  </si>
  <si>
    <t>Cambio de conexión Domiciliaria de Agua</t>
  </si>
  <si>
    <t>Cambio de conexión Domiciliaria de Cloaca</t>
  </si>
  <si>
    <t>CALCULO DE COEFICIENTE RESUMEN</t>
  </si>
  <si>
    <t>COSTO NETO TOTAL</t>
  </si>
  <si>
    <t>I=</t>
  </si>
  <si>
    <t>GASTOS GENERALES: (…..% de I)</t>
  </si>
  <si>
    <t>II=</t>
  </si>
  <si>
    <t>BENEFICIO: (……% de I)</t>
  </si>
  <si>
    <t>III=</t>
  </si>
  <si>
    <t>SUBTOTAL:(I+II+III)</t>
  </si>
  <si>
    <t>IV=</t>
  </si>
  <si>
    <t>IVA:(…….% DE IV)</t>
  </si>
  <si>
    <t>V=</t>
  </si>
  <si>
    <t>INGRESOS BRUTOS:(…..% de IV)</t>
  </si>
  <si>
    <t>VI=</t>
  </si>
  <si>
    <t>PRECIO DEL ITEM:</t>
  </si>
  <si>
    <t>VII=</t>
  </si>
  <si>
    <t>COEIFICIENTE RESUMEN</t>
  </si>
  <si>
    <t>VII/I</t>
  </si>
  <si>
    <t>Demolición de pavimento de hormigón existente.</t>
  </si>
  <si>
    <t>Demolición de pavimento de asfalto existente.</t>
  </si>
  <si>
    <t>Ejecución de Carpeta de concreto asfáltico 0,05</t>
  </si>
  <si>
    <t>Ejecución de Carpeta de concreto asfáltico para bacheo 0,06</t>
  </si>
  <si>
    <t>Limpieza Periódica y Final de Obra</t>
  </si>
  <si>
    <t>un</t>
  </si>
  <si>
    <t>Provision y colocacion de arena para asiento e = 0,04 m</t>
  </si>
  <si>
    <t>Provision y colocacion de arena para sellado de juntas</t>
  </si>
  <si>
    <t>Provision y colocacion de adoquines de hormigon (incluye cama de arena y sellado de juntas)</t>
  </si>
  <si>
    <t>ripiosa</t>
  </si>
  <si>
    <t>piedra bola</t>
  </si>
  <si>
    <t>Franjas de confinamiento de empedrado h = 0,30m</t>
  </si>
  <si>
    <t>Preparación de Subrasante 0,10 m de Espesor</t>
  </si>
  <si>
    <t>Ejecución de Carpeta de concreto asfáltico Modificado con Polímero 0,05 m</t>
  </si>
  <si>
    <t>Ejecución de Carpeta de concreto asfáltico Modificado con Polímero 0,06 m</t>
  </si>
  <si>
    <t>Costo Unitario</t>
  </si>
  <si>
    <t>Riego de Liga con emulsión cationica CRR, Incluida  aplicación</t>
  </si>
  <si>
    <t>Riego de Imprimación con emulsión cationica CRL, Incluida  aplicación</t>
  </si>
  <si>
    <t>Preparación de Subrasante 0,10 m de Espesor con cal</t>
  </si>
  <si>
    <t>Muro de piedra de encauzamiento y defensa</t>
  </si>
  <si>
    <t>Provisión y Ejecución de base granular estabilizada granular</t>
  </si>
  <si>
    <t>Provisión y Ejecución de subbase granular estabilizada granular</t>
  </si>
  <si>
    <t>Provisión y Ejecución de base granular estabilizada granular con cemento</t>
  </si>
  <si>
    <t xml:space="preserve"> </t>
  </si>
  <si>
    <t>$</t>
  </si>
  <si>
    <t>PROVINCIA DE SALTA   -   PROGRAMA CONTRATISTAS DE OBRAS PUBLICAS</t>
  </si>
  <si>
    <t>NO ENCUENTRO EN LA LISTA DE PRECIOS</t>
  </si>
  <si>
    <t>MES:   sept-04</t>
  </si>
  <si>
    <t>sombreado p/completar p/parte de registro</t>
  </si>
  <si>
    <t>CODIGO</t>
  </si>
  <si>
    <t>DESCRIPCION</t>
  </si>
  <si>
    <t>PROMEDIO</t>
  </si>
  <si>
    <t>PRECIO 1</t>
  </si>
  <si>
    <t>PRECIO 2</t>
  </si>
  <si>
    <t>cant.Insum</t>
  </si>
  <si>
    <t>Coeficiente</t>
  </si>
  <si>
    <t>ac.002</t>
  </si>
  <si>
    <t>alambre de puas x 500 m.</t>
  </si>
  <si>
    <t>promet (hierronort - iva) (himeco -iva)</t>
  </si>
  <si>
    <t>ac.015</t>
  </si>
  <si>
    <t>hierro mejorado de 10 mm.</t>
  </si>
  <si>
    <t>ac.016</t>
  </si>
  <si>
    <t>acero en barras 10 mm</t>
  </si>
  <si>
    <t>tn</t>
  </si>
  <si>
    <t>ac.030</t>
  </si>
  <si>
    <t>malla Sima R92</t>
  </si>
  <si>
    <t>ac.034</t>
  </si>
  <si>
    <t>metal desplegado 0.75mx2.00m.</t>
  </si>
  <si>
    <t>ac.040</t>
  </si>
  <si>
    <t>malla Sima Q92</t>
  </si>
  <si>
    <t>ac.050</t>
  </si>
  <si>
    <t>clavos P.P. 2"</t>
  </si>
  <si>
    <t>ac.051</t>
  </si>
  <si>
    <t>clavos P.P. 2 1/2"</t>
  </si>
  <si>
    <t>ac.060</t>
  </si>
  <si>
    <t>alambre romboidal 150x50x14</t>
  </si>
  <si>
    <t>ac.061</t>
  </si>
  <si>
    <t>alambre negro Nº16</t>
  </si>
  <si>
    <t>ac.070</t>
  </si>
  <si>
    <t>alambre galvaniz. 16/14</t>
  </si>
  <si>
    <t>ac.071</t>
  </si>
  <si>
    <t>alambre galvaniz. 17/15</t>
  </si>
  <si>
    <t>ml</t>
  </si>
  <si>
    <t>ac.080</t>
  </si>
  <si>
    <t>hierro planchuela 1/2"x1/8"</t>
  </si>
  <si>
    <t>ac.081</t>
  </si>
  <si>
    <t>hierro planchuela 5/8"x1/8"</t>
  </si>
  <si>
    <t>ac.089</t>
  </si>
  <si>
    <t>gancho "J" p/chapa galvanizada de 0,50</t>
  </si>
  <si>
    <t>ac.090</t>
  </si>
  <si>
    <t>gancho p/alambre tejido 3/8"x200 mm</t>
  </si>
  <si>
    <t>ac.091</t>
  </si>
  <si>
    <t>torniquetas Nº7 aerea</t>
  </si>
  <si>
    <t>ac.093</t>
  </si>
  <si>
    <t>acero p/pretens. Ø 7 mm</t>
  </si>
  <si>
    <t>promet</t>
  </si>
  <si>
    <t>ac.116</t>
  </si>
  <si>
    <t>Caño estructural 25x25x1,6 x 6 m</t>
  </si>
  <si>
    <t>ac.117</t>
  </si>
  <si>
    <t>Caño estructural redondo 2"x1,2 x 6 m</t>
  </si>
  <si>
    <t>ad.001</t>
  </si>
  <si>
    <t>antisol normalizado</t>
  </si>
  <si>
    <t>l</t>
  </si>
  <si>
    <t>binda procem</t>
  </si>
  <si>
    <t>ad.002</t>
  </si>
  <si>
    <t>acelerante de fragüe</t>
  </si>
  <si>
    <t>ai.001</t>
  </si>
  <si>
    <t>membrana geotextil (150gr/m2)</t>
  </si>
  <si>
    <t>ad.003</t>
  </si>
  <si>
    <t>Adoquin 10x10 Esf.4/7 Color gris o mixto (110kg por m2)</t>
  </si>
  <si>
    <t>ai.002b</t>
  </si>
  <si>
    <t>membrana s/aluminio 4 mm espesor</t>
  </si>
  <si>
    <t>ai.003</t>
  </si>
  <si>
    <t>esmalte asfáltico (asfalto líquido en tacho de 4 litros)</t>
  </si>
  <si>
    <t>ai.004b</t>
  </si>
  <si>
    <t>hidrófugo</t>
  </si>
  <si>
    <t>ai.005c</t>
  </si>
  <si>
    <t>membrana b/tejas c/aislac. térmica TBA5</t>
  </si>
  <si>
    <t>ai.006</t>
  </si>
  <si>
    <t>membrana c/aluminio 4 mm espesor</t>
  </si>
  <si>
    <t>ai.007</t>
  </si>
  <si>
    <t>asfalto plástico p/juntas de pavimento</t>
  </si>
  <si>
    <t>ai.009</t>
  </si>
  <si>
    <t>plástico 100 micrones</t>
  </si>
  <si>
    <t>far plast</t>
  </si>
  <si>
    <t>plastico 1,80x1,00m</t>
  </si>
  <si>
    <t>ai.010b</t>
  </si>
  <si>
    <t>masilla</t>
  </si>
  <si>
    <t>ai.012</t>
  </si>
  <si>
    <t>pintura asfáltica base acuosa</t>
  </si>
  <si>
    <t>ai.014</t>
  </si>
  <si>
    <t>poliestireno expandido 20 mm</t>
  </si>
  <si>
    <t>saltapor</t>
  </si>
  <si>
    <t>ai.016</t>
  </si>
  <si>
    <t>placa spanacustic c/fibra vidrio 25 mm (1,22 x 0,61m)</t>
  </si>
  <si>
    <t>ai.017</t>
  </si>
  <si>
    <t>microesfera de vidrio</t>
  </si>
  <si>
    <t>Cleanosol</t>
  </si>
  <si>
    <t>ar.001</t>
  </si>
  <si>
    <t>arena gruesa</t>
  </si>
  <si>
    <t>valdez - el vallenar-moyano</t>
  </si>
  <si>
    <t>ar.002</t>
  </si>
  <si>
    <t>material de subbase tamaño máx=2"- vial</t>
  </si>
  <si>
    <t>ar.003</t>
  </si>
  <si>
    <t>ripio zarandeado 1/3</t>
  </si>
  <si>
    <t>ar.004</t>
  </si>
  <si>
    <t>ar.005</t>
  </si>
  <si>
    <t>enlame</t>
  </si>
  <si>
    <t>ar.006</t>
  </si>
  <si>
    <t>arena mediana</t>
  </si>
  <si>
    <t>ar.007</t>
  </si>
  <si>
    <t>arido p/base max 1 1/2"- vial</t>
  </si>
  <si>
    <t>ar.008</t>
  </si>
  <si>
    <t>material de subbase tamaño máx=11/2"-vial</t>
  </si>
  <si>
    <t>ar.009</t>
  </si>
  <si>
    <t>arido grueso lavado1 : 5</t>
  </si>
  <si>
    <t>ripio lavado 1/5"</t>
  </si>
  <si>
    <t>ar.010</t>
  </si>
  <si>
    <t>az.001b</t>
  </si>
  <si>
    <t>azulejo 15x15 blanco</t>
  </si>
  <si>
    <t>milagro - barugel</t>
  </si>
  <si>
    <t>bl.002</t>
  </si>
  <si>
    <t>bloque de H° de 19 x 19 x 39</t>
  </si>
  <si>
    <t>milagro - sansone</t>
  </si>
  <si>
    <t>bl.003</t>
  </si>
  <si>
    <t>viguetas pretensadas 3.90 m.</t>
  </si>
  <si>
    <t>ceramica del norte</t>
  </si>
  <si>
    <t>ca.001</t>
  </si>
  <si>
    <t>puerta tablero 0.90 x 2.00 cedro</t>
  </si>
  <si>
    <t>hb (ex-plegamet) - estilo y diseño(ex-polimat) - misa</t>
  </si>
  <si>
    <t>ca.002</t>
  </si>
  <si>
    <t>placard c/ptas. placas  incl. inter.c/ melamina</t>
  </si>
  <si>
    <t>misa</t>
  </si>
  <si>
    <t>elimino misa de los proveedores</t>
  </si>
  <si>
    <t>ca.003</t>
  </si>
  <si>
    <t xml:space="preserve">cerradura de seguridad </t>
  </si>
  <si>
    <t>ca.008</t>
  </si>
  <si>
    <t>puerta placa 0,70 x 2,00</t>
  </si>
  <si>
    <t xml:space="preserve">  </t>
  </si>
  <si>
    <t>ca.013b</t>
  </si>
  <si>
    <t>ventana 2 H. abrir c/mco.met. 1,20x1,10</t>
  </si>
  <si>
    <t>ch.002</t>
  </si>
  <si>
    <t>chapa FºCº acanalada de 6 mm, de 1.10m.x 2.44m.</t>
  </si>
  <si>
    <t>sansone</t>
  </si>
  <si>
    <t>ch.004</t>
  </si>
  <si>
    <t>chapa de hierro N°16 DD de 1 x 2 m.</t>
  </si>
  <si>
    <t>promet-hierronort-himeco</t>
  </si>
  <si>
    <t>ch.006</t>
  </si>
  <si>
    <t>chapa H°G° N°27, 3.05 x 1.10 m.</t>
  </si>
  <si>
    <t>x10</t>
  </si>
  <si>
    <t>ch.010</t>
  </si>
  <si>
    <t>chapa de hierro N°18 DD de 1 x 2 m.</t>
  </si>
  <si>
    <t>ch.011</t>
  </si>
  <si>
    <t>caño estructural redondo 3" x 1,6 x 6mt.</t>
  </si>
  <si>
    <t>ch.012</t>
  </si>
  <si>
    <t>caño estructural 40x80x1,6x 6 m</t>
  </si>
  <si>
    <t>ch.013</t>
  </si>
  <si>
    <t>caño estructural 30x40x1,2x 6 m</t>
  </si>
  <si>
    <t>ch.020</t>
  </si>
  <si>
    <t>Perfil chapa galv. Solera de 35 mm x 2,60 m (para cielorraso)</t>
  </si>
  <si>
    <t>ch.021</t>
  </si>
  <si>
    <t>Perfil chapa galv. Solera de 70 mm x 2,60 m (para pared)</t>
  </si>
  <si>
    <t>el.009b</t>
  </si>
  <si>
    <t>cable desnudo cobre 7x0,50 mm2</t>
  </si>
  <si>
    <t>el.010</t>
  </si>
  <si>
    <t>pilar de luz simple completo</t>
  </si>
  <si>
    <t>el.020b</t>
  </si>
  <si>
    <t>caja medidor 220V policarbonato EDESA</t>
  </si>
  <si>
    <t>feltrin - oiel - RD electr</t>
  </si>
  <si>
    <t>el.022b</t>
  </si>
  <si>
    <t>cable cobre desnudo 7 x 0,85 mm2</t>
  </si>
  <si>
    <t>el.023b</t>
  </si>
  <si>
    <t>cable cobre aislado 1 x 2.5 mm2.</t>
  </si>
  <si>
    <t>*(RD en Agosto cotizò con IVA)</t>
  </si>
  <si>
    <t>el.024b</t>
  </si>
  <si>
    <t xml:space="preserve">CABLE 2*4 SUBTERRANEO           </t>
  </si>
  <si>
    <t>el.027b</t>
  </si>
  <si>
    <t>CABLE     1*1.5 $*MT...............</t>
  </si>
  <si>
    <t>el.057b</t>
  </si>
  <si>
    <t>caja octogonal chica ch.20</t>
  </si>
  <si>
    <t>el.058b</t>
  </si>
  <si>
    <t>conector hierro 3/4"</t>
  </si>
  <si>
    <t>el.059b</t>
  </si>
  <si>
    <t>caja octogonal grande ch.20</t>
  </si>
  <si>
    <t>el.060b</t>
  </si>
  <si>
    <t>caja rectangular 10 x 5 x 4.5</t>
  </si>
  <si>
    <t>el.072b</t>
  </si>
  <si>
    <t>caño semipesado 5/8" x 3 m.</t>
  </si>
  <si>
    <t>el.073b</t>
  </si>
  <si>
    <t>caño semipesado 3/4" x 3 m.</t>
  </si>
  <si>
    <t>el.100b</t>
  </si>
  <si>
    <t>interruptor termomagnético DIN 1x10 A</t>
  </si>
  <si>
    <t>el.108b</t>
  </si>
  <si>
    <t>llave 1 punto y toma 10 A</t>
  </si>
  <si>
    <t>el.149b</t>
  </si>
  <si>
    <t>gabinete completo p/ 12 medidores</t>
  </si>
  <si>
    <t>el.151b</t>
  </si>
  <si>
    <t>JABALINA SIMPLE 5/8*1000 FACBSA (R.D)</t>
  </si>
  <si>
    <t>el.152b</t>
  </si>
  <si>
    <t>CANO BAJADA MONOF.2BOCA 1.1/4*3 COMPLETO</t>
  </si>
  <si>
    <t>el.153</t>
  </si>
  <si>
    <t>CAJA TABLERO DE 16 X 21 CM.</t>
  </si>
  <si>
    <t>el.157</t>
  </si>
  <si>
    <t>CABLE COBRE DESNUDO 1,37 mm 7*0,50.$*MT.</t>
  </si>
  <si>
    <t>el.158</t>
  </si>
  <si>
    <t>CABLE COBRE DESNUDO 3,5mm 7*0,80.$*MT.</t>
  </si>
  <si>
    <t>el.159b</t>
  </si>
  <si>
    <t>FLORON PLAST REDO BCO.</t>
  </si>
  <si>
    <t>el.160</t>
  </si>
  <si>
    <t>ARTEFACTO FLUORESCENTE 2x40 W COMPLETO</t>
  </si>
  <si>
    <t>el.161</t>
  </si>
  <si>
    <t>LLAVE 1 PTO.EXT.LUMIN.MIG.1787 PLASNAVI</t>
  </si>
  <si>
    <t>el.162</t>
  </si>
  <si>
    <t>LLAVE 2 PTOS.EXT.LUMIN.MIG.1788 PLASNAVI</t>
  </si>
  <si>
    <t>el.163</t>
  </si>
  <si>
    <t>LLAVE 1 TOM.EXT.LUMIN.MIG.1792 PLASNAVI</t>
  </si>
  <si>
    <t>el.164b</t>
  </si>
  <si>
    <t>ROSETA DE MADERA REDONDA 10 CM</t>
  </si>
  <si>
    <t>el.165b</t>
  </si>
  <si>
    <t xml:space="preserve">PORTALAMPARA BAK.3 PZ.NEGRO 515 </t>
  </si>
  <si>
    <t>el.166b</t>
  </si>
  <si>
    <t>RECEPTACULO CURVO NEG BAK.584</t>
  </si>
  <si>
    <t>el.167</t>
  </si>
  <si>
    <t>CAÑO 3/4 SEMIPESADO X 3 MTS</t>
  </si>
  <si>
    <t>el.168b</t>
  </si>
  <si>
    <t>CONECTORES HIERRO DE 5/8"</t>
  </si>
  <si>
    <t>el169</t>
  </si>
  <si>
    <t>CONECTORES HIERRO DE 3/4"</t>
  </si>
  <si>
    <t>el.170b</t>
  </si>
  <si>
    <t>CAJA CUADRADAS 10*10 N°20</t>
  </si>
  <si>
    <t>el171</t>
  </si>
  <si>
    <t>CAJA OCTOGONALES GRANDES N°20</t>
  </si>
  <si>
    <t>el172</t>
  </si>
  <si>
    <t>CAJA OCTOGONALES CHICAS N°20</t>
  </si>
  <si>
    <t>el.175b</t>
  </si>
  <si>
    <t>CABLE     1*1 $*MT.................</t>
  </si>
  <si>
    <t>eq.001b</t>
  </si>
  <si>
    <t>camión Ford 14000 Diesel</t>
  </si>
  <si>
    <t>precio registro</t>
  </si>
  <si>
    <t>eq.001'</t>
  </si>
  <si>
    <t>h</t>
  </si>
  <si>
    <t>eq.002b</t>
  </si>
  <si>
    <t>equipo volquete BACO 7 m3</t>
  </si>
  <si>
    <t>eq.003</t>
  </si>
  <si>
    <t>canasta 1 (camión volcador)</t>
  </si>
  <si>
    <t>eq.004</t>
  </si>
  <si>
    <t>canasta 2 (mixer 5m3)</t>
  </si>
  <si>
    <t>eq.005</t>
  </si>
  <si>
    <t>canasta 3 (retroexcavadora 87 HP)</t>
  </si>
  <si>
    <t>eq.006</t>
  </si>
  <si>
    <t>gasoil</t>
  </si>
  <si>
    <t>eq.007</t>
  </si>
  <si>
    <t>retroexcavadora 87 H.P.</t>
  </si>
  <si>
    <t>eq.008</t>
  </si>
  <si>
    <t>eq.009</t>
  </si>
  <si>
    <t>motoniveladora 180 H.P.</t>
  </si>
  <si>
    <t>eq.010</t>
  </si>
  <si>
    <t>motoniveladora</t>
  </si>
  <si>
    <t>eq.011</t>
  </si>
  <si>
    <t>camión volcador 140 H.P.</t>
  </si>
  <si>
    <t>"camion regador 140 hp" estaria formado por  camion volcador con equipo regador</t>
  </si>
  <si>
    <t>eq.012</t>
  </si>
  <si>
    <t>eq.013</t>
  </si>
  <si>
    <t>pala cargadora 140 H.P.</t>
  </si>
  <si>
    <t>eq.014</t>
  </si>
  <si>
    <t>eq.015</t>
  </si>
  <si>
    <t>rodillo neumático autopropulsado 70 HP</t>
  </si>
  <si>
    <t>eq.016</t>
  </si>
  <si>
    <t>Importe</t>
  </si>
  <si>
    <t>eq.017</t>
  </si>
  <si>
    <t>vibrocompactador autopropulsado 120 HP</t>
  </si>
  <si>
    <t>eq.018</t>
  </si>
  <si>
    <t>eq.019</t>
  </si>
  <si>
    <t>camión mixer 5 m3   240 H.P.</t>
  </si>
  <si>
    <t>eq.020</t>
  </si>
  <si>
    <t>mixer hormigón 5 m3</t>
  </si>
  <si>
    <t>eq.021</t>
  </si>
  <si>
    <t>planta elaboradora de hormigón 60 H.P.</t>
  </si>
  <si>
    <t>eq.022</t>
  </si>
  <si>
    <t>planta eleboradora de hormigón</t>
  </si>
  <si>
    <t>eq.024</t>
  </si>
  <si>
    <t>topadora D-7  200 H.P.</t>
  </si>
  <si>
    <t>eq.025</t>
  </si>
  <si>
    <t>eq.026b</t>
  </si>
  <si>
    <t>aserradora pavimento 8 H.P.</t>
  </si>
  <si>
    <t>eq.027</t>
  </si>
  <si>
    <t>eq.028b</t>
  </si>
  <si>
    <t>bomba a explosión 5 H. P.</t>
  </si>
  <si>
    <t>eq.029</t>
  </si>
  <si>
    <t>eq.030</t>
  </si>
  <si>
    <t>camión con acoplado 15m3  312 H.P.</t>
  </si>
  <si>
    <t>eq.031</t>
  </si>
  <si>
    <t>eq.040</t>
  </si>
  <si>
    <t>plancha vibradora a explosión 6 H.P.</t>
  </si>
  <si>
    <t>eq.041</t>
  </si>
  <si>
    <t>eq.044b</t>
  </si>
  <si>
    <t>regla vibradora 8 H.P.</t>
  </si>
  <si>
    <t>eq.046</t>
  </si>
  <si>
    <t>eq.048</t>
  </si>
  <si>
    <t>rodillo neumático de arrastre</t>
  </si>
  <si>
    <t>eq.049</t>
  </si>
  <si>
    <t>eq.050</t>
  </si>
  <si>
    <t>rodillo pata de cabra de arrastre</t>
  </si>
  <si>
    <t>eq.051</t>
  </si>
  <si>
    <t>eq.052</t>
  </si>
  <si>
    <t>rodillo vibrador de arrastre 60 H.P.</t>
  </si>
  <si>
    <t>eq.053</t>
  </si>
  <si>
    <t>eq.054</t>
  </si>
  <si>
    <t>tanque acoplado 10000 litros</t>
  </si>
  <si>
    <t>eq.055</t>
  </si>
  <si>
    <t>eq.058b</t>
  </si>
  <si>
    <t>tractor engomado 100 H.P.</t>
  </si>
  <si>
    <t>eq.059</t>
  </si>
  <si>
    <t>eq.060b</t>
  </si>
  <si>
    <t>vibrador inmersión a nafta 4 H.P.</t>
  </si>
  <si>
    <t>eq.061</t>
  </si>
  <si>
    <t>eq.062</t>
  </si>
  <si>
    <t>martillo neumático</t>
  </si>
  <si>
    <t>altobelli Martillo rompe pavimento + Juego de manguera y tres puntas</t>
  </si>
  <si>
    <t>eq.063</t>
  </si>
  <si>
    <t>eq.064</t>
  </si>
  <si>
    <t>cortadora de hierro eléctrica tipo Simplex 32</t>
  </si>
  <si>
    <t>tekno bomba</t>
  </si>
  <si>
    <t>eq.065</t>
  </si>
  <si>
    <t>cortadora de hierro eléctrica</t>
  </si>
  <si>
    <t>eq.066b</t>
  </si>
  <si>
    <t>motocompresor tipo P185 WR</t>
  </si>
  <si>
    <t>macrosa</t>
  </si>
  <si>
    <t>eq.067</t>
  </si>
  <si>
    <t>motocompresor</t>
  </si>
  <si>
    <t>eq.068</t>
  </si>
  <si>
    <t>grupo electrógeno CAT (3306ATAAC) 250 KV Stan by</t>
  </si>
  <si>
    <t>eq.069</t>
  </si>
  <si>
    <t>grupo electrógeno CAT (3306ATAAC) 240 KV Stan by</t>
  </si>
  <si>
    <t>eq.070b</t>
  </si>
  <si>
    <t>equipo regador de agua  cap. 6000 lt</t>
  </si>
  <si>
    <t>fracchia</t>
  </si>
  <si>
    <t>eq.071</t>
  </si>
  <si>
    <t>eq.072b</t>
  </si>
  <si>
    <t>equipo regador de asfalto cap 5000 lt</t>
  </si>
  <si>
    <t>se formaria c/camión volcador</t>
  </si>
  <si>
    <t>eq.073</t>
  </si>
  <si>
    <t>eq.074b</t>
  </si>
  <si>
    <t>barredora sopladora</t>
  </si>
  <si>
    <t>eq.075</t>
  </si>
  <si>
    <t>eq.076</t>
  </si>
  <si>
    <t>Compactadora de Suelo Rodillo Liso 145 HP CS 533 D</t>
  </si>
  <si>
    <t>Para los meses anteriores se tomaba una aplanadora CAT 825G Serie II, el valor en uss era de 536.00 EXCESIVO</t>
  </si>
  <si>
    <t>eq.077</t>
  </si>
  <si>
    <t>aplanadora autopropulsado</t>
  </si>
  <si>
    <t>eq.078</t>
  </si>
  <si>
    <t>camioneta pick up cabina simple</t>
  </si>
  <si>
    <t>isuzo motors</t>
  </si>
  <si>
    <t>eq.079</t>
  </si>
  <si>
    <t>camioneta</t>
  </si>
  <si>
    <t>eq.080</t>
  </si>
  <si>
    <t>nafta super</t>
  </si>
  <si>
    <t>eq.082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</si>
  <si>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</si>
  <si>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cornejo rovaletti</t>
  </si>
  <si>
    <t>eq.083</t>
  </si>
  <si>
    <t>rastra de disco</t>
  </si>
  <si>
    <t>eq.084</t>
  </si>
  <si>
    <t>dobladora de hierro Trebol</t>
  </si>
  <si>
    <t>eq.085</t>
  </si>
  <si>
    <t>eq.086</t>
  </si>
  <si>
    <t>vibrador de placa Waker BPS</t>
  </si>
  <si>
    <t>eq.087</t>
  </si>
  <si>
    <t>precio ant.U$S</t>
  </si>
  <si>
    <t>eq.088</t>
  </si>
  <si>
    <t xml:space="preserve">planta de asfalto 80 Tn/h c/filtro de manga </t>
  </si>
  <si>
    <t>Covema cotizó e $ sin grupo electróg.</t>
  </si>
  <si>
    <t>eq.113   grupo electrógeno CAT (3306ATAAC) 275 KVA Stanby Cotiza Macrosa</t>
  </si>
  <si>
    <t>eq.089</t>
  </si>
  <si>
    <t>eq.090</t>
  </si>
  <si>
    <t>Grúa hidráulica Hidrogrubert N 10000 - Tm</t>
  </si>
  <si>
    <t>Altobelli</t>
  </si>
  <si>
    <t>eq.100</t>
  </si>
  <si>
    <t>eq.102</t>
  </si>
  <si>
    <t>terminadora de asfalto CIBER SA 115 CR serie 135</t>
  </si>
  <si>
    <t>Covema cotizó e $</t>
  </si>
  <si>
    <t>eq.103</t>
  </si>
  <si>
    <t>terminadora de asfalto CIBER 115CR serie 135</t>
  </si>
  <si>
    <t>eq.104</t>
  </si>
  <si>
    <t>retroexcavadora s/oruga 140 HP 0,80m3 (CAT 320)</t>
  </si>
  <si>
    <t>eq.105</t>
  </si>
  <si>
    <t>retroexcavadora s/oruga 140 HP 0,80m3</t>
  </si>
  <si>
    <t>eq.106</t>
  </si>
  <si>
    <t>camión M. Benz 1218-42</t>
  </si>
  <si>
    <t>eq.107</t>
  </si>
  <si>
    <t>camión M. Benz 1620-45</t>
  </si>
  <si>
    <t>eq.108</t>
  </si>
  <si>
    <t>cubierta 900x20 c/tacos</t>
  </si>
  <si>
    <t>eq.109</t>
  </si>
  <si>
    <t>cubierta 1000x20 c/tacos</t>
  </si>
  <si>
    <t>eq.110</t>
  </si>
  <si>
    <t>cubierta 1100x20 c/tacos</t>
  </si>
  <si>
    <t>eq.111</t>
  </si>
  <si>
    <t>equipo acoplado p/camion 1218-42</t>
  </si>
  <si>
    <t>eq.112</t>
  </si>
  <si>
    <t>equipo acoplado p/camion 1620-45</t>
  </si>
  <si>
    <t>eq.200</t>
  </si>
  <si>
    <t>matafuegos 5 kg tipo ABC</t>
  </si>
  <si>
    <t>matafuegos salta CON IVA</t>
  </si>
  <si>
    <t>fi.023</t>
  </si>
  <si>
    <t xml:space="preserve">tasa cartera general BNA </t>
  </si>
  <si>
    <t>fi.024</t>
  </si>
  <si>
    <t>cotización dólar promed. mensual</t>
  </si>
  <si>
    <t>fi.025</t>
  </si>
  <si>
    <t>tasa comerc. y financ. eq. Importado</t>
  </si>
  <si>
    <t>fi.026</t>
  </si>
  <si>
    <t>derechos de aprobación C.Profes.</t>
  </si>
  <si>
    <t>Consejo Profesional</t>
  </si>
  <si>
    <t>fi.027</t>
  </si>
  <si>
    <t xml:space="preserve">copia xerox de planos </t>
  </si>
  <si>
    <t>copyshow</t>
  </si>
  <si>
    <t>fi.028</t>
  </si>
  <si>
    <t>seguro 1218-42($/año)</t>
  </si>
  <si>
    <t>fi.029</t>
  </si>
  <si>
    <t>seguro 1620-45($/año)</t>
  </si>
  <si>
    <t>fo.010</t>
  </si>
  <si>
    <t>árboles para forestación - fresno</t>
  </si>
  <si>
    <t>vivero san cayetano-vivero las margaritas</t>
  </si>
  <si>
    <t>fo.020</t>
  </si>
  <si>
    <t>mantillo</t>
  </si>
  <si>
    <t>bolsa</t>
  </si>
  <si>
    <t>ga.005</t>
  </si>
  <si>
    <t>Pegamento p/polyguard 1 litro</t>
  </si>
  <si>
    <t>ga.008</t>
  </si>
  <si>
    <t>Sombrerete chapa aprobado de 100 c/tornillos</t>
  </si>
  <si>
    <t>ga.010</t>
  </si>
  <si>
    <t>caño de chapa galvanizada</t>
  </si>
  <si>
    <t>galvitub</t>
  </si>
  <si>
    <t>ga.011</t>
  </si>
  <si>
    <t>componentes epoxi x 1/4lt.</t>
  </si>
  <si>
    <t>Gas Service</t>
  </si>
  <si>
    <t>ga.020</t>
  </si>
  <si>
    <t>gabinete medidor gas</t>
  </si>
  <si>
    <t>ga.113</t>
  </si>
  <si>
    <t>calefactor TB 3800 calorias</t>
  </si>
  <si>
    <t>ga.114</t>
  </si>
  <si>
    <t>calefón 14 litros blanco</t>
  </si>
  <si>
    <t>ga.116</t>
  </si>
  <si>
    <t>cocina 4 hornallas</t>
  </si>
  <si>
    <t>ga.126</t>
  </si>
  <si>
    <t>regulador y flexible p/gas natural</t>
  </si>
  <si>
    <t>ga.137</t>
  </si>
  <si>
    <t>llave p/gas cromada 1/2"</t>
  </si>
  <si>
    <t>ga.138</t>
  </si>
  <si>
    <t>llave p/gas cromada 3/4"</t>
  </si>
  <si>
    <t>ga.150</t>
  </si>
  <si>
    <t>caño extruído 19 mm</t>
  </si>
  <si>
    <t>ga.152</t>
  </si>
  <si>
    <t>Caño epoxi 13 mm</t>
  </si>
  <si>
    <t>ga.153</t>
  </si>
  <si>
    <t>caño epoxi 19 mm</t>
  </si>
  <si>
    <t>ga.156</t>
  </si>
  <si>
    <t>caño epoxi 25 mm</t>
  </si>
  <si>
    <t>ga.159</t>
  </si>
  <si>
    <t>codo epoxi 13 mm</t>
  </si>
  <si>
    <t>ga.160</t>
  </si>
  <si>
    <t>codo epoxi 19 mm</t>
  </si>
  <si>
    <t>ga.161</t>
  </si>
  <si>
    <t>LLAVE PASO GAS BRONCE ½"</t>
  </si>
  <si>
    <t>ga.162</t>
  </si>
  <si>
    <t>LLAVE PASO GAS BRONCE 3/4"</t>
  </si>
  <si>
    <t>ga.164</t>
  </si>
  <si>
    <t>CAÑO EPOXI 13 MM</t>
  </si>
  <si>
    <t>ga.165</t>
  </si>
  <si>
    <t xml:space="preserve">CODOS HH 90° EPOXI 1/2"     </t>
  </si>
  <si>
    <t>ga.166</t>
  </si>
  <si>
    <t xml:space="preserve">CODOS HH 90° EPOXI 3/4"      </t>
  </si>
  <si>
    <t>ga.167</t>
  </si>
  <si>
    <t>NIPLES EPOXI DE 10 CM. 3/4    73022 L.T</t>
  </si>
  <si>
    <t>ga.168</t>
  </si>
  <si>
    <t>TEES RED. EPOXI 3/4"*1/2"     73235</t>
  </si>
  <si>
    <t>ga.169</t>
  </si>
  <si>
    <t>BUJES RED. EPOXI 3/4*1/2      73289</t>
  </si>
  <si>
    <t>ga.170</t>
  </si>
  <si>
    <t>TAPON MACHO EPOXI DE 1/2      73340 L.T</t>
  </si>
  <si>
    <t>ga.171</t>
  </si>
  <si>
    <t>TAPON MACHO EPOXI DE 3/4      73342 L.T</t>
  </si>
  <si>
    <t>ga.172</t>
  </si>
  <si>
    <t>POLYGUARD 660 DE 0,05 X 10 MTS.</t>
  </si>
  <si>
    <t>ga.174</t>
  </si>
  <si>
    <t>SOMBRERETE CHAPA APROBADO DE 100 C/TORN.</t>
  </si>
  <si>
    <t>ga.180</t>
  </si>
  <si>
    <t>buje reduccion epoxi 3/4" x 1/2"</t>
  </si>
  <si>
    <t>ga.200</t>
  </si>
  <si>
    <t>tapon macho epoxi 3/4"</t>
  </si>
  <si>
    <t>ga.201</t>
  </si>
  <si>
    <t>tapon macho epoxi 1/2"</t>
  </si>
  <si>
    <t>la.001</t>
  </si>
  <si>
    <t>ladrillo común de 1ra.calidad</t>
  </si>
  <si>
    <t>mil</t>
  </si>
  <si>
    <t>precio El Milagro-Ruiz Ladrillo</t>
  </si>
  <si>
    <t>la.002</t>
  </si>
  <si>
    <t>ladrillo hueco 8T  12x18x30</t>
  </si>
  <si>
    <t>la.006</t>
  </si>
  <si>
    <t>ladrillo hueco 6T  8x18x30</t>
  </si>
  <si>
    <t>la.008</t>
  </si>
  <si>
    <t>ladrillo hueco 9T 18x18x30</t>
  </si>
  <si>
    <t>la.009</t>
  </si>
  <si>
    <t>ladrillo hueco portante 18x 18x30</t>
  </si>
  <si>
    <t>la.010</t>
  </si>
  <si>
    <t>bovedilla cerámica para viguetas 12,5x40x25</t>
  </si>
  <si>
    <t>li.001</t>
  </si>
  <si>
    <t>adhesivo p/piso cerámico</t>
  </si>
  <si>
    <t>li.004</t>
  </si>
  <si>
    <t>cal hidratada en bolsa</t>
  </si>
  <si>
    <t>li.005</t>
  </si>
  <si>
    <t>cemento blanco</t>
  </si>
  <si>
    <t>la industrial</t>
  </si>
  <si>
    <t>li.006</t>
  </si>
  <si>
    <t>cemento Portland</t>
  </si>
  <si>
    <t>loma negra-minetti</t>
  </si>
  <si>
    <t>li.007</t>
  </si>
  <si>
    <t>cal hidratada granel</t>
  </si>
  <si>
    <t>El Milagro</t>
  </si>
  <si>
    <t>li.009</t>
  </si>
  <si>
    <t>yeso blanco</t>
  </si>
  <si>
    <t>pint. Martin-Martel-América</t>
  </si>
  <si>
    <t>ma.001</t>
  </si>
  <si>
    <t>madera 1ra. pino nacional cepillada</t>
  </si>
  <si>
    <t>leon maderas (descontar iva)- cedroran</t>
  </si>
  <si>
    <t>ma.002</t>
  </si>
  <si>
    <t>tirante pino 3"x3" s/cepillar</t>
  </si>
  <si>
    <t>ma.003</t>
  </si>
  <si>
    <t>madera machimbrada pino 1"x6"</t>
  </si>
  <si>
    <t>ma.004</t>
  </si>
  <si>
    <t>madera machimbrada pino 3/4"</t>
  </si>
  <si>
    <t>ma.006</t>
  </si>
  <si>
    <t>madera 1" pino nacional s/cepillar</t>
  </si>
  <si>
    <t>madera 1ra. pino nacional s/cepillar</t>
  </si>
  <si>
    <t>ma.007</t>
  </si>
  <si>
    <t>madera machimbrada pino 1/2"</t>
  </si>
  <si>
    <t>ma.008</t>
  </si>
  <si>
    <t>zocalo pino 7 cm</t>
  </si>
  <si>
    <t>ma.010</t>
  </si>
  <si>
    <t>tirante pino 3x6"</t>
  </si>
  <si>
    <t>ma.011</t>
  </si>
  <si>
    <t>fenólicos 15 mm. (1,60 x 2,20 m)</t>
  </si>
  <si>
    <t>ma.012</t>
  </si>
  <si>
    <t>fenólicos 18 mm. (1,60 x 2,20 m)</t>
  </si>
  <si>
    <t>ma.015</t>
  </si>
  <si>
    <t>listones pino 1x2"</t>
  </si>
  <si>
    <t>ma.016</t>
  </si>
  <si>
    <t>madera dura 11/2"x2" cepillada</t>
  </si>
  <si>
    <t>ma.017</t>
  </si>
  <si>
    <t xml:space="preserve">madera dura 11/2" </t>
  </si>
  <si>
    <t>ma.018</t>
  </si>
  <si>
    <t>madera dura 3"x3"</t>
  </si>
  <si>
    <t>ma.020</t>
  </si>
  <si>
    <t>tirante pino 2x3"</t>
  </si>
  <si>
    <t>ma.021</t>
  </si>
  <si>
    <t>poste de quebracho entero 2,40m</t>
  </si>
  <si>
    <t>gerala</t>
  </si>
  <si>
    <t>ma.022</t>
  </si>
  <si>
    <t>medio  poste de quebracho 2,20</t>
  </si>
  <si>
    <t>ma.023</t>
  </si>
  <si>
    <t>varillones de 1,40 mts.</t>
  </si>
  <si>
    <t>ma.024</t>
  </si>
  <si>
    <t>varillas de 1,20 mts.</t>
  </si>
  <si>
    <t>ma.025</t>
  </si>
  <si>
    <t>tranqueras 1,50 altox6,00 ancho</t>
  </si>
  <si>
    <t>ma.026</t>
  </si>
  <si>
    <t>tablones pino 2"x15"</t>
  </si>
  <si>
    <t>mo.001</t>
  </si>
  <si>
    <t>oficial especializado</t>
  </si>
  <si>
    <t>Contempla Nvo. Incr. Salar</t>
  </si>
  <si>
    <t>($ 100 x 6,90%)/170Hs</t>
  </si>
  <si>
    <t>mo.002</t>
  </si>
  <si>
    <t>oficial</t>
  </si>
  <si>
    <t>obra social+gremio</t>
  </si>
  <si>
    <t>mo.003</t>
  </si>
  <si>
    <t>medio oficial</t>
  </si>
  <si>
    <t>mo.004</t>
  </si>
  <si>
    <t>ayudante</t>
  </si>
  <si>
    <t>mo.005</t>
  </si>
  <si>
    <t>adicional p/especialidad</t>
  </si>
  <si>
    <t>mo.006</t>
  </si>
  <si>
    <t>cuadrilla tipo UOCRA</t>
  </si>
  <si>
    <t>mo.007</t>
  </si>
  <si>
    <t>cuadrilla tipo U.G.A.T.S.</t>
  </si>
  <si>
    <t>mo.008</t>
  </si>
  <si>
    <t>chofer</t>
  </si>
  <si>
    <t>pb.010</t>
  </si>
  <si>
    <t>cuerpo motorarg CFD 675/30  30H.P.</t>
  </si>
  <si>
    <t>gomez rocco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</si>
  <si>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</si>
  <si>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</si>
  <si>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</si>
  <si>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</si>
  <si>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</si>
  <si>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</si>
  <si>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</si>
  <si>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</si>
  <si>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</si>
  <si>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caño H°G° RyC 4"</t>
  </si>
  <si>
    <t>pi.003</t>
  </si>
  <si>
    <t>aguarrás</t>
  </si>
  <si>
    <t>martin- martel-america</t>
  </si>
  <si>
    <t>pi.005</t>
  </si>
  <si>
    <t>antióxido rojo plata x 4 lts.</t>
  </si>
  <si>
    <t>pi.010</t>
  </si>
  <si>
    <t>esmalte sintetico x 4 lts blanco</t>
  </si>
  <si>
    <t>pi.016</t>
  </si>
  <si>
    <t>pintura al agua bolsa 4 kg</t>
  </si>
  <si>
    <t>pi.018</t>
  </si>
  <si>
    <t>pintura al latex - lata 20 lts,</t>
  </si>
  <si>
    <t>pi.019</t>
  </si>
  <si>
    <t>pintura asfáltica secado rapido</t>
  </si>
  <si>
    <t>RENDIM.</t>
  </si>
  <si>
    <t>pi.020</t>
  </si>
  <si>
    <t>enduído plástico</t>
  </si>
  <si>
    <t>DATOS</t>
  </si>
  <si>
    <t>$xUn</t>
  </si>
  <si>
    <t>pi.022</t>
  </si>
  <si>
    <t>salpicado plástico blanco tipo Igam</t>
  </si>
  <si>
    <t>Salp. Tersuax30k</t>
  </si>
  <si>
    <t>pi.025</t>
  </si>
  <si>
    <t>barniz sintético</t>
  </si>
  <si>
    <t>Plast.x1,5 ltx30k</t>
  </si>
  <si>
    <t>pi.030</t>
  </si>
  <si>
    <t>fijador al agua</t>
  </si>
  <si>
    <t>pi.031</t>
  </si>
  <si>
    <t xml:space="preserve">pintura siliconadas p/ladrillos </t>
  </si>
  <si>
    <t>pi.032</t>
  </si>
  <si>
    <t>thinner</t>
  </si>
  <si>
    <t>pi.033</t>
  </si>
  <si>
    <t>papel lija mediana</t>
  </si>
  <si>
    <t>pl.001</t>
  </si>
  <si>
    <t>placa durlock 1.20mx2.40m  9,5mm</t>
  </si>
  <si>
    <t>pl.002</t>
  </si>
  <si>
    <t>placa durlock 1.20mx2.40m  12.50mm</t>
  </si>
  <si>
    <t>pre.010</t>
  </si>
  <si>
    <t>poste intermedio x 3,05 m</t>
  </si>
  <si>
    <t>ing. Wierna - Cear</t>
  </si>
  <si>
    <t>pre.030</t>
  </si>
  <si>
    <t>poste esquinero x 3,05 m</t>
  </si>
  <si>
    <t>ra.016</t>
  </si>
  <si>
    <t>caño Pead Agua20mm</t>
  </si>
  <si>
    <t>Tubonor</t>
  </si>
  <si>
    <t>ra.020</t>
  </si>
  <si>
    <t>caño Pead Agua 63mm</t>
  </si>
  <si>
    <t>ra.024</t>
  </si>
  <si>
    <t>caño Pead Agua 75mm</t>
  </si>
  <si>
    <t>ra.028</t>
  </si>
  <si>
    <t>cupla Pead Agua 63mm</t>
  </si>
  <si>
    <t>ra.030</t>
  </si>
  <si>
    <t>cupla Pead Agua 75mm</t>
  </si>
  <si>
    <t>ra.032</t>
  </si>
  <si>
    <t>te normal Pead Agua 63mm</t>
  </si>
  <si>
    <t>ra.034</t>
  </si>
  <si>
    <t>válvula esclusa doble brida H°D° 63mm</t>
  </si>
  <si>
    <t>ra.036</t>
  </si>
  <si>
    <t>abrazadera diámetro 63mm con racord de 1/2"</t>
  </si>
  <si>
    <t>rc.010</t>
  </si>
  <si>
    <t>marco y tapa H°D° 85/90Kg. Sist. Abisagrado</t>
  </si>
  <si>
    <t>rc.020b</t>
  </si>
  <si>
    <t>caño PVC Cloacal JE 160mm</t>
  </si>
  <si>
    <t>re.005</t>
  </si>
  <si>
    <t>Cruceta de H°A° MN 157 (2,20 m) c/ganchos</t>
  </si>
  <si>
    <t>zoricich-oiel</t>
  </si>
  <si>
    <t>re.010</t>
  </si>
  <si>
    <t>Cruceta de Hº Aº separadora</t>
  </si>
  <si>
    <t>re.015</t>
  </si>
  <si>
    <t>Columna de Hº Aº Vº de 10,50/1000/3</t>
  </si>
  <si>
    <t>re.020</t>
  </si>
  <si>
    <t>Columna de HºAºVº de 9,5/900/3</t>
  </si>
  <si>
    <t>re.025b</t>
  </si>
  <si>
    <t>Poste de eucaliptus creosotado 11 m</t>
  </si>
  <si>
    <t>re.030b</t>
  </si>
  <si>
    <t xml:space="preserve">Descargador óxido de zinc con desligador </t>
  </si>
  <si>
    <t>oiel-ampere tucuman</t>
  </si>
  <si>
    <t>re.035b</t>
  </si>
  <si>
    <t>Cable de Cu desnudo de 50 mm² de Secc.</t>
  </si>
  <si>
    <t>re.040b</t>
  </si>
  <si>
    <t>Conductor desnudo de cobre de 16 mm²</t>
  </si>
  <si>
    <t>re.043b</t>
  </si>
  <si>
    <t>Cable de Al desnudo de 50 mm² de Secc.</t>
  </si>
  <si>
    <t>re.045b</t>
  </si>
  <si>
    <t>Conductor Cu preensamblado 3x95 + 1x50 m</t>
  </si>
  <si>
    <t>re.050b</t>
  </si>
  <si>
    <t>Conductor CU forrado 1 x 35 mm²</t>
  </si>
  <si>
    <t>re.055b</t>
  </si>
  <si>
    <t>Conductor prerreunido 4 x 10 mm²</t>
  </si>
  <si>
    <t>re.060</t>
  </si>
  <si>
    <t>Transformador de potencia 13,2 KV, 315/0,4/0,231 KVA</t>
  </si>
  <si>
    <t>iatra</t>
  </si>
  <si>
    <t>re.065</t>
  </si>
  <si>
    <t>Artefacto Strand MB 70 con SAP 250 W</t>
  </si>
  <si>
    <t>strand</t>
  </si>
  <si>
    <t>re.070b</t>
  </si>
  <si>
    <t>Aislador Orgánico 13,2/33kv</t>
  </si>
  <si>
    <t>ampere norte tucuman sujeto a nuevo precio</t>
  </si>
  <si>
    <t>re.075b</t>
  </si>
  <si>
    <t>Seccionador fusible XS</t>
  </si>
  <si>
    <t>re.080b</t>
  </si>
  <si>
    <t>Jabalina tipo Cooperweld 1,50x3/4"</t>
  </si>
  <si>
    <t>re.085b</t>
  </si>
  <si>
    <t>Caja de distribución polyester conj. Secc. APR c/fusibles SETA</t>
  </si>
  <si>
    <t>re.090b</t>
  </si>
  <si>
    <t>Cajas de derivación trifásica RBT</t>
  </si>
  <si>
    <t>re.095b</t>
  </si>
  <si>
    <t>Gabinete estanco PVC 600x600x300 c/cerrad. AºPº</t>
  </si>
  <si>
    <t>re.100b</t>
  </si>
  <si>
    <t>Juego de retensión completo</t>
  </si>
  <si>
    <t>re.105b</t>
  </si>
  <si>
    <t>Juego de suspensión completo</t>
  </si>
  <si>
    <t>re.110</t>
  </si>
  <si>
    <t>Morseto de retensión - grampa peine</t>
  </si>
  <si>
    <t>rg.004</t>
  </si>
  <si>
    <t>cupla E/F Gas PE80 50mm</t>
  </si>
  <si>
    <t>rg.006</t>
  </si>
  <si>
    <t>cupla E/F Gas PE80 63mm</t>
  </si>
  <si>
    <t>rg.008</t>
  </si>
  <si>
    <t xml:space="preserve">tubo Pead Gas 25mm 4bar </t>
  </si>
  <si>
    <t>rg.018</t>
  </si>
  <si>
    <t xml:space="preserve">tubo Pead Gas 50mm 4bar </t>
  </si>
  <si>
    <t>rg.020</t>
  </si>
  <si>
    <t xml:space="preserve">tubo Pead Gas 63mm 4bar </t>
  </si>
  <si>
    <t>rg.024</t>
  </si>
  <si>
    <t>ramal Deriv. Gas E/F PE80 63x50mm</t>
  </si>
  <si>
    <t>rg.026</t>
  </si>
  <si>
    <t>te Normal Gas E/F PE80 63mm</t>
  </si>
  <si>
    <t>rg.028</t>
  </si>
  <si>
    <t>toma Servicio Gas E/F 63x25mm</t>
  </si>
  <si>
    <t>rg.030</t>
  </si>
  <si>
    <t>toma Servicio Gas E/F 50x25mm</t>
  </si>
  <si>
    <t>rv.010</t>
  </si>
  <si>
    <t>adoquines para pavimento</t>
  </si>
  <si>
    <t>rv.011</t>
  </si>
  <si>
    <t>caño chapa ondulada Ø 0,80 mts.</t>
  </si>
  <si>
    <t>siderar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</si>
  <si>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</si>
  <si>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</si>
  <si>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</si>
  <si>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</si>
  <si>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</si>
  <si>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</si>
  <si>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</si>
  <si>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</si>
  <si>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</si>
  <si>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</si>
  <si>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macaferri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</si>
  <si>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</si>
  <si>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</si>
  <si>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</si>
  <si>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</si>
  <si>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</si>
  <si>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</si>
  <si>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</si>
  <si>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</si>
  <si>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</si>
  <si>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</si>
  <si>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arsa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</si>
  <si>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</si>
  <si>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</si>
  <si>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</si>
  <si>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</si>
  <si>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</si>
  <si>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</si>
  <si>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</si>
  <si>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Emulsión lenta 1 (CRL – 1)</t>
  </si>
  <si>
    <t>petrobras Emulsion Lenta</t>
  </si>
  <si>
    <t>rv.026</t>
  </si>
  <si>
    <t>Emulsión rápida 1 (CRR – 1)</t>
  </si>
  <si>
    <t>petrobras Emulsion Rapida</t>
  </si>
  <si>
    <t>rv.027</t>
  </si>
  <si>
    <t>fuel-oil</t>
  </si>
  <si>
    <t>petrobras Mezcla 70/30</t>
  </si>
  <si>
    <t>rv.028</t>
  </si>
  <si>
    <t>C.A. (50-60)</t>
  </si>
  <si>
    <t>petrobras Asfalto 70/100 - 50/60</t>
  </si>
  <si>
    <t>rv.029</t>
  </si>
  <si>
    <t>junta de dilatación</t>
  </si>
  <si>
    <t>postesados</t>
  </si>
  <si>
    <t>rv.030</t>
  </si>
  <si>
    <t>apoyo de neoprene</t>
  </si>
  <si>
    <t>cm3</t>
  </si>
  <si>
    <t>rv.031</t>
  </si>
  <si>
    <t>material termosplastico (subcontrato)</t>
  </si>
  <si>
    <t>cleanosol cotiza en m2</t>
  </si>
  <si>
    <t>rv.032</t>
  </si>
  <si>
    <t>Diluido Medio 1 (EM – 1) y Rápido 1 (ER – 1)</t>
  </si>
  <si>
    <t>petrobras Diluidos</t>
  </si>
  <si>
    <t>rv.033</t>
  </si>
  <si>
    <t>portico de señal aérea DNV 130 k 16 m. Luz</t>
  </si>
  <si>
    <t>cleanosol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</si>
  <si>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</si>
  <si>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</si>
  <si>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</si>
  <si>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</si>
  <si>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</si>
  <si>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</si>
  <si>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alein intern sumat. Varios insumos</t>
  </si>
  <si>
    <t>rv.037</t>
  </si>
  <si>
    <t>agregado zarand. Pétreo fino vial</t>
  </si>
  <si>
    <t>moyano</t>
  </si>
  <si>
    <t>rv.038</t>
  </si>
  <si>
    <t>agregado zarand. Pétreo triturado  vial</t>
  </si>
  <si>
    <t>rv.038b</t>
  </si>
  <si>
    <t>rv.039</t>
  </si>
  <si>
    <t xml:space="preserve">material termosplastico </t>
  </si>
  <si>
    <t>sa.001</t>
  </si>
  <si>
    <t>ramal Y PVC 0.110x0.110</t>
  </si>
  <si>
    <t>gas service-tubonor</t>
  </si>
  <si>
    <t>sa.002</t>
  </si>
  <si>
    <t>curva PVC 45° 110</t>
  </si>
  <si>
    <t>sa.015b</t>
  </si>
  <si>
    <t>bacha simple acero inox. 52 x 32x18</t>
  </si>
  <si>
    <t>sa.020</t>
  </si>
  <si>
    <t>inodoro sifónico losa</t>
  </si>
  <si>
    <t>barugel</t>
  </si>
  <si>
    <t>sa.021</t>
  </si>
  <si>
    <t>mochila losa c/ codo</t>
  </si>
  <si>
    <t>sa.022</t>
  </si>
  <si>
    <t>asiento p/inodoro PVC</t>
  </si>
  <si>
    <t>sa.071</t>
  </si>
  <si>
    <t>caño H-3 tricapa 19 mm</t>
  </si>
  <si>
    <t>gas service - tubonor</t>
  </si>
  <si>
    <t>sa.089</t>
  </si>
  <si>
    <t>caño PVC 3.2 p/desague cloacal 0.060 x 4 m.</t>
  </si>
  <si>
    <t>sa.090</t>
  </si>
  <si>
    <t>caño PVC 3.2 p/desague cloacal 0.110 x 4 m.</t>
  </si>
  <si>
    <t>se toma precio registro</t>
  </si>
  <si>
    <t>sa.108</t>
  </si>
  <si>
    <t>codo IPS 19 mm</t>
  </si>
  <si>
    <t>sa.111</t>
  </si>
  <si>
    <t>codo H°G° 19 mm</t>
  </si>
  <si>
    <t>sa.112</t>
  </si>
  <si>
    <t>ramal Y PVC Cloacal d=160x110mm</t>
  </si>
  <si>
    <t>sa.169</t>
  </si>
  <si>
    <t>pileta de patio PVC 5 entradas</t>
  </si>
  <si>
    <t>sa.194</t>
  </si>
  <si>
    <t xml:space="preserve">TAPON MACHO IPS 1/2"            </t>
  </si>
  <si>
    <t>sa.195</t>
  </si>
  <si>
    <t xml:space="preserve">TAPON MACHO IPS 3/4 "  </t>
  </si>
  <si>
    <t>sa.200</t>
  </si>
  <si>
    <t>tee IPS 19 mm</t>
  </si>
  <si>
    <t>sa.205</t>
  </si>
  <si>
    <t>kit medidor agua aprob. ASSA</t>
  </si>
  <si>
    <t>sa.210</t>
  </si>
  <si>
    <t>gabinete p/medidor agua aprobado ASSA</t>
  </si>
  <si>
    <t>gas service-ing. Wierna-cear</t>
  </si>
  <si>
    <t>sa.220</t>
  </si>
  <si>
    <t>caño H-3 tricapa 25 mm</t>
  </si>
  <si>
    <t>sa.221</t>
  </si>
  <si>
    <t>sellador p/rosca x 125 cm3</t>
  </si>
  <si>
    <t>sa.223</t>
  </si>
  <si>
    <t>medidor de agua</t>
  </si>
  <si>
    <t>sa.239</t>
  </si>
  <si>
    <t>juego llave y flor p/ducha cromada</t>
  </si>
  <si>
    <t>sa.244</t>
  </si>
  <si>
    <t>llave de paso de bronce 0.019</t>
  </si>
  <si>
    <t>sa.247</t>
  </si>
  <si>
    <t>llave esclusa bronce 0.019</t>
  </si>
  <si>
    <t>sa.270</t>
  </si>
  <si>
    <t>canilla bronce cromo p/pil. lavar 1/2"</t>
  </si>
  <si>
    <t>sa.284</t>
  </si>
  <si>
    <t>flotante completo p/tanque 1/2"</t>
  </si>
  <si>
    <t>sa.285</t>
  </si>
  <si>
    <t>tanque de reserva 600 lts. PVC tricapa</t>
  </si>
  <si>
    <t>sa.291</t>
  </si>
  <si>
    <t>mesada granito reconst. 4 cm. de espesor</t>
  </si>
  <si>
    <t>Col E cotiza la industrial</t>
  </si>
  <si>
    <t>sa.295</t>
  </si>
  <si>
    <t>mesada granito natural nacional  e=2cm.</t>
  </si>
  <si>
    <t>sa.300</t>
  </si>
  <si>
    <t>ramal Y PVC 0.110x0.63</t>
  </si>
  <si>
    <t>sa.310</t>
  </si>
  <si>
    <t>válvula exclusa bronce 25 mm</t>
  </si>
  <si>
    <t>sa.321</t>
  </si>
  <si>
    <t>CUPLAS H°G° 3/4 * 1/2"</t>
  </si>
  <si>
    <t>sa.322</t>
  </si>
  <si>
    <t>CUPLAS H°G° 1 * 1/2 - 3/4"</t>
  </si>
  <si>
    <t>sa.323</t>
  </si>
  <si>
    <t>CODOS HH H°G° * 90°  DE ½"</t>
  </si>
  <si>
    <t>sa.324</t>
  </si>
  <si>
    <t>CODOS MH H°G° * 90° DE ½"</t>
  </si>
  <si>
    <t>sa.325</t>
  </si>
  <si>
    <t>BUJES H°G° 3/4" * 1/2"</t>
  </si>
  <si>
    <t>sa.326</t>
  </si>
  <si>
    <t xml:space="preserve">TAPON MACHO IPS 1/2            </t>
  </si>
  <si>
    <t>sa.327</t>
  </si>
  <si>
    <t xml:space="preserve">TAPON MACHO IPS 3/4             </t>
  </si>
  <si>
    <t>sa.328</t>
  </si>
  <si>
    <t xml:space="preserve">NIPLES IPS * 10 CM *  1/2  </t>
  </si>
  <si>
    <t>sa.329</t>
  </si>
  <si>
    <t xml:space="preserve">NIPLES IPS * 8 CM *  3/4   </t>
  </si>
  <si>
    <t>sa.330</t>
  </si>
  <si>
    <t xml:space="preserve">UNION DOBLE IPS 1/2            </t>
  </si>
  <si>
    <t>sa.331</t>
  </si>
  <si>
    <t xml:space="preserve">UNION DOBLE IPS 3/4             </t>
  </si>
  <si>
    <t>sa.332</t>
  </si>
  <si>
    <t>FLOTANTE P/TANQUE         ½"</t>
  </si>
  <si>
    <t>sa.333</t>
  </si>
  <si>
    <t xml:space="preserve">BUJE RED IPS 3/4*1/2       </t>
  </si>
  <si>
    <t>sa.334</t>
  </si>
  <si>
    <t xml:space="preserve">BUJE RED IPS 1*1/2         </t>
  </si>
  <si>
    <t>sa.335</t>
  </si>
  <si>
    <t xml:space="preserve">ADAPTADOR C/BRIDA IPS 1"   </t>
  </si>
  <si>
    <t>sa.336</t>
  </si>
  <si>
    <t xml:space="preserve">CODO ROSCA H RED. IPS 3/4*1/2  </t>
  </si>
  <si>
    <t>sa.337</t>
  </si>
  <si>
    <t xml:space="preserve">TEE RED IPS 3/4*1/2             </t>
  </si>
  <si>
    <t>sa.338</t>
  </si>
  <si>
    <t xml:space="preserve">TEE RED IPS 1*3/4               </t>
  </si>
  <si>
    <t>sa.339</t>
  </si>
  <si>
    <t xml:space="preserve">TEE ROSCA H IPS 1/2             </t>
  </si>
  <si>
    <t>sa.340</t>
  </si>
  <si>
    <t xml:space="preserve">TEE ROSCA H IPS 3/4            </t>
  </si>
  <si>
    <t>sa.341</t>
  </si>
  <si>
    <t>VALVULAS ESFERICAS BCE. 1/2</t>
  </si>
  <si>
    <t>sa.342</t>
  </si>
  <si>
    <t>VALVULAS ESFERICAS BCE. 3/4</t>
  </si>
  <si>
    <t>sa.343</t>
  </si>
  <si>
    <t>ASIENTO P/INODORO MONKOTO BLANCO 39030</t>
  </si>
  <si>
    <t>CANILLA SERVICIO BCE.½  (A-C)</t>
  </si>
  <si>
    <t>sa.345</t>
  </si>
  <si>
    <t xml:space="preserve">SELLA ROSCA HIDRO 3 X 125 CC </t>
  </si>
  <si>
    <t>sa.346</t>
  </si>
  <si>
    <t>FLEXIBLE FLEXIFORMA CROM.1/2*30</t>
  </si>
  <si>
    <t>sa.349</t>
  </si>
  <si>
    <t>SIFON P/DESCARGA SIMPLE       40005</t>
  </si>
  <si>
    <t>so.016</t>
  </si>
  <si>
    <t>baldosa cerámica roja 6 x 24</t>
  </si>
  <si>
    <t>Col E cotiza el milagro - barugel discontinuidad</t>
  </si>
  <si>
    <t>so.003</t>
  </si>
  <si>
    <t>mosaico calcareo amarillo, rojo o gris</t>
  </si>
  <si>
    <t>La  industrial</t>
  </si>
  <si>
    <t>so.004</t>
  </si>
  <si>
    <t>mosaico granítico 30x30</t>
  </si>
  <si>
    <t>so.009b</t>
  </si>
  <si>
    <t>baldosa roja 20x20 tipo azotea</t>
  </si>
  <si>
    <t>el milagro - barugel - staneff</t>
  </si>
  <si>
    <t>so.030b</t>
  </si>
  <si>
    <t>cerámico esmaltado 20x20</t>
  </si>
  <si>
    <t>te.002</t>
  </si>
  <si>
    <t>teja colonial</t>
  </si>
  <si>
    <t>te.003</t>
  </si>
  <si>
    <t>teja francesa</t>
  </si>
  <si>
    <t>vi.001</t>
  </si>
  <si>
    <t>vidrio triple transparente</t>
  </si>
  <si>
    <t>cristalizando-castellani-l.vidrios</t>
  </si>
  <si>
    <t>vi.002</t>
  </si>
  <si>
    <t>espejo 3mm</t>
  </si>
  <si>
    <t>vi.003</t>
  </si>
  <si>
    <t>vidrio doble transparente</t>
  </si>
  <si>
    <t>vi.004</t>
  </si>
  <si>
    <t>policarbonato 4mm</t>
  </si>
  <si>
    <t>Equipos Nuevos Agregados al universo de precios</t>
  </si>
  <si>
    <t>eq.007b</t>
  </si>
  <si>
    <t>Retrocargadora CAT 416D 74HP Pala 1m3 Balde 0,3m3</t>
  </si>
  <si>
    <t>eq.009b</t>
  </si>
  <si>
    <t>Motoniveladora CAT 120H 140HP c/Ripper trasero</t>
  </si>
  <si>
    <t>eq.013b</t>
  </si>
  <si>
    <t>Cargadora CAT 938G II 160HP Pala 2,8m3</t>
  </si>
  <si>
    <t>eq.019b</t>
  </si>
  <si>
    <t>Mixer 5 m3 Sobre Camion eq.107</t>
  </si>
  <si>
    <t>eq.024b</t>
  </si>
  <si>
    <t>Topadora CAT D7R Serie II - 240 Hp - Hoja 7SU - Ripper multivastago</t>
  </si>
  <si>
    <t>Aserradora pavimento Target Minicom II 13,5 Hp</t>
  </si>
  <si>
    <t>Bomba a explosión 5 H. P. Honda WB 30 XT</t>
  </si>
  <si>
    <t>eq.040b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</si>
  <si>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</si>
  <si>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</si>
  <si>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</si>
  <si>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</si>
  <si>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</si>
  <si>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eq.068b</t>
  </si>
  <si>
    <t>Grupo electrógeno CAT (3406 CD) 300 KVA Stand by</t>
  </si>
  <si>
    <t>Equipo regador de agua  cap. 6000 lt</t>
  </si>
  <si>
    <t>Equipo regador de asfalto cap 6600 lt</t>
  </si>
  <si>
    <t>sa.900</t>
  </si>
  <si>
    <t>Caño PRFV 900mm diám. Presión 1 bar</t>
  </si>
  <si>
    <t>her.001</t>
  </si>
  <si>
    <t>Hormigonera 1HP 140lts</t>
  </si>
  <si>
    <t>her.002</t>
  </si>
  <si>
    <t>Pala Gherardi</t>
  </si>
  <si>
    <t>her.003</t>
  </si>
  <si>
    <t>Pico Gherardi</t>
  </si>
  <si>
    <t>her.004</t>
  </si>
  <si>
    <t>Cabo para pico</t>
  </si>
  <si>
    <t>her.005</t>
  </si>
  <si>
    <t>Cuchara Gherardi</t>
  </si>
  <si>
    <t>her.006</t>
  </si>
  <si>
    <t>Balde plastico</t>
  </si>
  <si>
    <t>her.007</t>
  </si>
  <si>
    <t>Cortahierro Gherardi</t>
  </si>
  <si>
    <t>her.008</t>
  </si>
  <si>
    <t>Guante Desc/Jean</t>
  </si>
  <si>
    <t>her.009</t>
  </si>
  <si>
    <t>Carretilla Reforzada</t>
  </si>
  <si>
    <t>her.010</t>
  </si>
  <si>
    <t>Dobladora de hierro - Diám. 12 mm</t>
  </si>
  <si>
    <t>her.011</t>
  </si>
  <si>
    <t>Dobladora de hierro - Diám. 20 mm</t>
  </si>
  <si>
    <t>Caja medidor 220V policarbonato EDESA</t>
  </si>
  <si>
    <t>el.021b</t>
  </si>
  <si>
    <t>caja medidor 380 V policarbonato EDESA</t>
  </si>
  <si>
    <t>Cable cobre aislado 1 x 2.5 mm2.</t>
  </si>
  <si>
    <t>cable subterraneo 2x4 mm2</t>
  </si>
  <si>
    <t>el.025b</t>
  </si>
  <si>
    <t>cable subterraneo 3x6 mm2</t>
  </si>
  <si>
    <t>cable cobre aislado 1 x 1,5 mm2</t>
  </si>
  <si>
    <t>Caja rectangular 10 x 5 x 4.5</t>
  </si>
  <si>
    <t>el.061b</t>
  </si>
  <si>
    <t>caja p/ 4 termicas</t>
  </si>
  <si>
    <t>el.062b</t>
  </si>
  <si>
    <t>caja p/ 6 termicas</t>
  </si>
  <si>
    <t>el.071b</t>
  </si>
  <si>
    <t>caño liviano hierro 5/8" x 3 m</t>
  </si>
  <si>
    <t>Caño semipesado 5/8" x 3 m.</t>
  </si>
  <si>
    <t>el.075b</t>
  </si>
  <si>
    <t>curva chapa electricidad 3/4"</t>
  </si>
  <si>
    <t>el.076b</t>
  </si>
  <si>
    <t>curva chapa electricidad 5/8"</t>
  </si>
  <si>
    <t>el.080b</t>
  </si>
  <si>
    <t>caño corrugado reforz. plastico 3/4"</t>
  </si>
  <si>
    <t>Interruptor termomagnético DIN 1x10 A</t>
  </si>
  <si>
    <t>el.101b</t>
  </si>
  <si>
    <t>interruptor termomagnético DIN 2x25 A</t>
  </si>
  <si>
    <t>el.102b</t>
  </si>
  <si>
    <t>interruptor diferencial SICA bipolar 25 Amp.</t>
  </si>
  <si>
    <t>el.103b</t>
  </si>
  <si>
    <t>interruptor termomagnetico DIN 3x25 A</t>
  </si>
  <si>
    <t>el.104b</t>
  </si>
  <si>
    <t>interruptor diferencial SICA bipolar 40 A</t>
  </si>
  <si>
    <t>el.105b</t>
  </si>
  <si>
    <t>interruptor diferencial tetrapolar 40 Amp.</t>
  </si>
  <si>
    <t>el.107b</t>
  </si>
  <si>
    <t>llave embutir 1 punto</t>
  </si>
  <si>
    <t>Llave 1 punto y toma 10 A</t>
  </si>
  <si>
    <t>el.109b</t>
  </si>
  <si>
    <t>tomacorriente embutir c/T.T.</t>
  </si>
  <si>
    <t>el.110b</t>
  </si>
  <si>
    <t>gabinete estanco PVC p/8 termicas</t>
  </si>
  <si>
    <t>el.111b</t>
  </si>
  <si>
    <t>gabinete estanco PVC p/16 termicas</t>
  </si>
  <si>
    <t>el.112b</t>
  </si>
  <si>
    <t>zumbador embutir 10x10</t>
  </si>
  <si>
    <t>el.113b</t>
  </si>
  <si>
    <t>tortuga fundicion redonda grande</t>
  </si>
  <si>
    <t>el.114b</t>
  </si>
  <si>
    <t>tortuga fundicion chica redonda</t>
  </si>
  <si>
    <t>el.115b</t>
  </si>
  <si>
    <t>tortuga PVC redonda c/rejilla</t>
  </si>
  <si>
    <t>Gabinete completo p/ 12 medidores</t>
  </si>
  <si>
    <t>el.150b</t>
  </si>
  <si>
    <t>cinta aisladora PVC x 20 m</t>
  </si>
  <si>
    <t>CAÑO BAJADA MONOF.2BOCA 1.1/4*3 COMPLETO Galvaniz. Pesado</t>
  </si>
  <si>
    <t>el.160b</t>
  </si>
  <si>
    <t>MODULO PULSADOR UNIP.C/CAMP.RODA BCO</t>
  </si>
  <si>
    <t>PORTALAMPARA BAK.3 PZ.NEGRO 515</t>
  </si>
  <si>
    <t>el.172b</t>
  </si>
  <si>
    <t>Caja rectangular CH.20</t>
  </si>
  <si>
    <t>eq.123</t>
  </si>
  <si>
    <t>Grupo electrogeno Olympian GEP 250 kva c/cabina</t>
  </si>
  <si>
    <t>eq.124</t>
  </si>
  <si>
    <t>Grupo electrogeno Olympian 300 kva s/cabina</t>
  </si>
  <si>
    <t>eq.125</t>
  </si>
  <si>
    <t>Grupo electrogeno Olympian GEP 275 kva c/cabina</t>
  </si>
  <si>
    <t>ca.020</t>
  </si>
  <si>
    <t>Ventana 2H de abrir alum. natural 1,2x1,2 c/cristal float 4mm incoloro</t>
  </si>
  <si>
    <t>ca.030</t>
  </si>
  <si>
    <t>Ventana 2H de abrir alum. Anodiz. 1,2x1,2 c/cristal float 4mm incoloro</t>
  </si>
  <si>
    <t>pb.100</t>
  </si>
  <si>
    <t>Caño con costura de A°I° AISI 304 de Diam. 219,1x5,00mm</t>
  </si>
  <si>
    <t>pb.101</t>
  </si>
  <si>
    <t>Caño con costura de A°I° AISI 304 de Diam. 273,1x5,00mm</t>
  </si>
  <si>
    <t>pb.102</t>
  </si>
  <si>
    <t>Caño con costura de A°I° AISI 304 de Diam. 323,8x5,00mm</t>
  </si>
  <si>
    <t>sa.700</t>
  </si>
  <si>
    <t>Caño PRFV 700mm para Cloacas diám. Presión 1 bar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</si>
  <si>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</si>
  <si>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</si>
  <si>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</si>
  <si>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</si>
  <si>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</si>
  <si>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</si>
  <si>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</si>
  <si>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</si>
  <si>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</si>
  <si>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</si>
  <si>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</si>
  <si>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</si>
  <si>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</si>
  <si>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</si>
  <si>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</si>
  <si>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</si>
  <si>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</si>
  <si>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</si>
  <si>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</si>
  <si>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</si>
  <si>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</si>
  <si>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</si>
  <si>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</si>
  <si>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</si>
  <si>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</si>
  <si>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</si>
  <si>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</si>
  <si>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</si>
  <si>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</si>
  <si>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</si>
  <si>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</si>
  <si>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</si>
  <si>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</si>
  <si>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</si>
  <si>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</si>
  <si>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</si>
  <si>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</si>
  <si>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</si>
  <si>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</si>
  <si>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</si>
  <si>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</si>
  <si>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</si>
  <si>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</si>
  <si>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</si>
  <si>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</si>
  <si>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</si>
  <si>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</si>
  <si>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</si>
  <si>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</si>
  <si>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</si>
  <si>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</si>
  <si>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</si>
  <si>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</si>
  <si>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</si>
  <si>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</si>
  <si>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</si>
  <si>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</si>
  <si>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</si>
  <si>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</si>
  <si>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</si>
  <si>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</si>
  <si>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</si>
  <si>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</si>
  <si>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</si>
  <si>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</si>
  <si>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</si>
  <si>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</si>
  <si>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</si>
  <si>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</si>
  <si>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</si>
  <si>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</si>
  <si>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</si>
  <si>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</si>
  <si>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</si>
  <si>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</si>
  <si>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</si>
  <si>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</si>
  <si>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</si>
  <si>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</si>
  <si>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</si>
  <si>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</si>
  <si>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</si>
  <si>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ai.011</t>
  </si>
  <si>
    <t>Membrana HDPE 60 Esp. 1,5 mm, Lisa, Calidad GM13 (m2)</t>
  </si>
  <si>
    <t>ai.018</t>
  </si>
  <si>
    <t>Telgopor 10 mm</t>
  </si>
  <si>
    <t>ai.055</t>
  </si>
  <si>
    <t>Ladrillo telgopor h=12cm, largo=1m, ancho=42cm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</si>
  <si>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</si>
  <si>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</si>
  <si>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</si>
  <si>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</si>
  <si>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</si>
  <si>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</si>
  <si>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</si>
  <si>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</si>
  <si>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</si>
  <si>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</si>
  <si>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</si>
  <si>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</si>
  <si>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</si>
  <si>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</si>
  <si>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</si>
  <si>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</si>
  <si>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</si>
  <si>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</si>
  <si>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ca.001b</t>
  </si>
  <si>
    <t>Puerta tablero 0,90 x 2,00 cedro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</si>
  <si>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</si>
  <si>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</si>
  <si>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</si>
  <si>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</si>
  <si>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</si>
  <si>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</si>
  <si>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</si>
  <si>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</si>
  <si>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</si>
  <si>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</si>
  <si>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</si>
  <si>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</si>
  <si>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</si>
  <si>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</si>
  <si>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</si>
  <si>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</si>
  <si>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</si>
  <si>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</si>
  <si>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</si>
  <si>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</si>
  <si>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</si>
  <si>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</si>
  <si>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</si>
  <si>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</si>
  <si>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</si>
  <si>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</si>
  <si>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</si>
  <si>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</si>
  <si>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</si>
  <si>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</si>
  <si>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</si>
  <si>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</si>
  <si>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</si>
  <si>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</si>
  <si>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</si>
  <si>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</si>
  <si>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</si>
  <si>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</si>
  <si>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</si>
  <si>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</si>
  <si>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</si>
  <si>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</si>
  <si>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</si>
  <si>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</si>
  <si>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</si>
  <si>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</si>
  <si>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</si>
  <si>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</si>
  <si>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</si>
  <si>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</si>
  <si>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</si>
  <si>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</si>
  <si>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</si>
  <si>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</si>
  <si>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</si>
  <si>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</si>
  <si>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</si>
  <si>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</si>
  <si>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</si>
  <si>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</si>
  <si>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</si>
  <si>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</si>
  <si>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</si>
  <si>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</si>
  <si>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</si>
  <si>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</si>
  <si>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</si>
  <si>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</si>
  <si>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</si>
  <si>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</si>
  <si>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</si>
  <si>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</si>
  <si>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</si>
  <si>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</si>
  <si>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</si>
  <si>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</si>
  <si>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</si>
  <si>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</si>
  <si>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</si>
  <si>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</si>
  <si>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</si>
  <si>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</si>
  <si>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</si>
  <si>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</si>
  <si>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</si>
  <si>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</si>
  <si>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</si>
  <si>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</si>
  <si>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</si>
  <si>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</si>
  <si>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</si>
  <si>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</si>
  <si>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</si>
  <si>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</si>
  <si>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</si>
  <si>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</si>
  <si>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</si>
  <si>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</si>
  <si>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</si>
  <si>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</si>
  <si>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</si>
  <si>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</si>
  <si>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</si>
  <si>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</si>
  <si>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eq.054b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</si>
  <si>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</si>
  <si>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</si>
  <si>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</si>
  <si>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</si>
  <si>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</si>
  <si>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</si>
  <si>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</si>
  <si>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</si>
  <si>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</si>
  <si>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</si>
  <si>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</si>
  <si>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</si>
  <si>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</si>
  <si>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</si>
  <si>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</si>
  <si>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</si>
  <si>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</si>
  <si>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</si>
  <si>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</si>
  <si>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</si>
  <si>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</si>
  <si>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</si>
  <si>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</si>
  <si>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</si>
  <si>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</si>
  <si>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</si>
  <si>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</si>
  <si>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</si>
  <si>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</si>
  <si>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</si>
  <si>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</si>
  <si>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</si>
  <si>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</si>
  <si>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</si>
  <si>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</si>
  <si>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</si>
  <si>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</si>
  <si>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</si>
  <si>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</si>
  <si>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</si>
  <si>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</si>
  <si>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</si>
  <si>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</si>
  <si>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eq.301</t>
  </si>
  <si>
    <t>Combustible Tipo  IFO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</si>
  <si>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</si>
  <si>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</si>
  <si>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</si>
  <si>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</si>
  <si>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</si>
  <si>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</si>
  <si>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</si>
  <si>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</si>
  <si>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</si>
  <si>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</si>
  <si>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</si>
  <si>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</si>
  <si>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</si>
  <si>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</si>
  <si>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</si>
  <si>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</si>
  <si>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</si>
  <si>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</si>
  <si>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</si>
  <si>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</si>
  <si>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</si>
  <si>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</si>
  <si>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</si>
  <si>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</si>
  <si>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</si>
  <si>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</si>
  <si>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</si>
  <si>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</si>
  <si>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</si>
  <si>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</si>
  <si>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</si>
  <si>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</si>
  <si>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</si>
  <si>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</si>
  <si>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</si>
  <si>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</si>
  <si>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</si>
  <si>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</si>
  <si>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</si>
  <si>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</si>
  <si>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</si>
  <si>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</si>
  <si>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</si>
  <si>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</si>
  <si>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</si>
  <si>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</si>
  <si>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</si>
  <si>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</si>
  <si>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</si>
  <si>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</si>
  <si>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</si>
  <si>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</si>
  <si>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</si>
  <si>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</si>
  <si>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</si>
  <si>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</si>
  <si>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</si>
  <si>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</si>
  <si>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</si>
  <si>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</si>
  <si>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</si>
  <si>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</si>
  <si>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</si>
  <si>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</si>
  <si>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</si>
  <si>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</si>
  <si>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</si>
  <si>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</si>
  <si>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</si>
  <si>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</si>
  <si>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</si>
  <si>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</si>
  <si>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</si>
  <si>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</si>
  <si>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</si>
  <si>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</si>
  <si>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</si>
  <si>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</si>
  <si>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</si>
  <si>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</si>
  <si>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</si>
  <si>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</si>
  <si>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</si>
  <si>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</si>
  <si>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</si>
  <si>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</si>
  <si>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li.001b</t>
  </si>
  <si>
    <t>Adhesivo p/piso cerámico Weber 30 kg (A partir de 07/06)</t>
  </si>
  <si>
    <t>li.002</t>
  </si>
  <si>
    <t>pastina p/ceramicos blanca</t>
  </si>
  <si>
    <t>li.003</t>
  </si>
  <si>
    <t>Pastina p/ceramicos color</t>
  </si>
  <si>
    <t>li.004b</t>
  </si>
  <si>
    <t>Cal hidratada en bolsa 25 kg (A partir de 07/06)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</si>
  <si>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</si>
  <si>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</si>
  <si>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</si>
  <si>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</si>
  <si>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</si>
  <si>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</si>
  <si>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</si>
  <si>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</si>
  <si>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</si>
  <si>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</si>
  <si>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</si>
  <si>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Hoja fibrofacil 4mm 1,83x2,60</t>
  </si>
  <si>
    <t>ma.053</t>
  </si>
  <si>
    <t>Preencolado blanco</t>
  </si>
  <si>
    <t>pb.010b</t>
  </si>
  <si>
    <t>Cuerpo motorarg CFD 669/30  30H.P. (A partir de 04/05)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</si>
  <si>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</si>
  <si>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</si>
  <si>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</si>
  <si>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</si>
  <si>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</si>
  <si>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</si>
  <si>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</si>
  <si>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</si>
  <si>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</si>
  <si>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</si>
  <si>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</si>
  <si>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</si>
  <si>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</si>
  <si>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</si>
  <si>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</si>
  <si>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</si>
  <si>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</si>
  <si>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</si>
  <si>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</si>
  <si>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</si>
  <si>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</si>
  <si>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</si>
  <si>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</si>
  <si>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</si>
  <si>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</si>
  <si>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</si>
  <si>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</si>
  <si>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</si>
  <si>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</si>
  <si>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</si>
  <si>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</si>
  <si>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</si>
  <si>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</si>
  <si>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</si>
  <si>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</si>
  <si>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</si>
  <si>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</si>
  <si>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</si>
  <si>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</si>
  <si>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</si>
  <si>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</si>
  <si>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</si>
  <si>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</si>
  <si>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</si>
  <si>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</si>
  <si>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</si>
  <si>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</si>
  <si>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</si>
  <si>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</si>
  <si>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</si>
  <si>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</si>
  <si>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</si>
  <si>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</si>
  <si>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</si>
  <si>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</si>
  <si>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</si>
  <si>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</si>
  <si>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</si>
  <si>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</si>
  <si>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</si>
  <si>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</si>
  <si>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</si>
  <si>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</si>
  <si>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</si>
  <si>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</si>
  <si>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</si>
  <si>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</si>
  <si>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</si>
  <si>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</si>
  <si>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</si>
  <si>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</si>
  <si>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</si>
  <si>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</si>
  <si>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</si>
  <si>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</si>
  <si>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</si>
  <si>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</si>
  <si>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</si>
  <si>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</si>
  <si>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</si>
  <si>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</si>
  <si>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</si>
  <si>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</si>
  <si>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</si>
  <si>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</si>
  <si>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</si>
  <si>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</si>
  <si>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</si>
  <si>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</si>
  <si>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</si>
  <si>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</si>
  <si>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</si>
  <si>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</si>
  <si>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</si>
  <si>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</si>
  <si>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</si>
  <si>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</si>
  <si>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</si>
  <si>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</si>
  <si>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</si>
  <si>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</si>
  <si>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</si>
  <si>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</si>
  <si>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</si>
  <si>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</si>
  <si>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</si>
  <si>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</si>
  <si>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</si>
  <si>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</si>
  <si>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</si>
  <si>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</si>
  <si>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</si>
  <si>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</si>
  <si>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</si>
  <si>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</si>
  <si>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</si>
  <si>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</si>
  <si>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</si>
  <si>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</si>
  <si>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</si>
  <si>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</si>
  <si>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</si>
  <si>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</si>
  <si>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</si>
  <si>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</si>
  <si>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</si>
  <si>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</si>
  <si>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</si>
  <si>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</si>
  <si>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</si>
  <si>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</si>
  <si>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</si>
  <si>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</si>
  <si>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</si>
  <si>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</si>
  <si>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</si>
  <si>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</si>
  <si>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</si>
  <si>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</si>
  <si>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</si>
  <si>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</si>
  <si>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</si>
  <si>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</si>
  <si>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</si>
  <si>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</si>
  <si>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</si>
  <si>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</si>
  <si>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</si>
  <si>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</si>
  <si>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</si>
  <si>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</si>
  <si>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</si>
  <si>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</si>
  <si>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</si>
  <si>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</si>
  <si>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</si>
  <si>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</si>
  <si>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</si>
  <si>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</si>
  <si>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</si>
  <si>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</si>
  <si>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</si>
  <si>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</si>
  <si>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</si>
  <si>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</si>
  <si>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</si>
  <si>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</si>
  <si>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</si>
  <si>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</si>
  <si>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</si>
  <si>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</si>
  <si>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</si>
  <si>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</si>
  <si>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</si>
  <si>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</si>
  <si>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</si>
  <si>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</si>
  <si>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</si>
  <si>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</si>
  <si>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</si>
  <si>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</si>
  <si>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</si>
  <si>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</si>
  <si>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</si>
  <si>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</si>
  <si>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</si>
  <si>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</si>
  <si>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</si>
  <si>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</si>
  <si>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</si>
  <si>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</si>
  <si>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</si>
  <si>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</si>
  <si>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</si>
  <si>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</si>
  <si>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</si>
  <si>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</si>
  <si>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</si>
  <si>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</si>
  <si>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</si>
  <si>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</si>
  <si>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</si>
  <si>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</si>
  <si>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</si>
  <si>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</si>
  <si>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</si>
  <si>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</si>
  <si>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</si>
  <si>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</si>
  <si>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</si>
  <si>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</si>
  <si>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</si>
  <si>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</si>
  <si>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</si>
  <si>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</si>
  <si>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</si>
  <si>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</si>
  <si>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</si>
  <si>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</si>
  <si>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</si>
  <si>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</si>
  <si>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</si>
  <si>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</si>
  <si>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</si>
  <si>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</si>
  <si>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</si>
  <si>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</si>
  <si>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</si>
  <si>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</si>
  <si>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</si>
  <si>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</si>
  <si>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</si>
  <si>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</si>
  <si>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</si>
  <si>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</si>
  <si>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uno.eq</t>
  </si>
  <si>
    <t>Constante 1 (Uno)</t>
  </si>
  <si>
    <t>uno.ma</t>
  </si>
  <si>
    <t>uno.mo</t>
  </si>
  <si>
    <t>vi.006</t>
  </si>
  <si>
    <t>vidrio transparente 6 mm</t>
  </si>
  <si>
    <t>vi.007</t>
  </si>
  <si>
    <t>vidrio armado</t>
  </si>
  <si>
    <t>vi.008</t>
  </si>
  <si>
    <t>blindex 10 mm</t>
  </si>
  <si>
    <t>DESCRIPCIÓN</t>
  </si>
  <si>
    <t>CANTIDAD</t>
  </si>
  <si>
    <t>COSTO UNITARIO</t>
  </si>
  <si>
    <t>PRECIO TOTAL</t>
  </si>
  <si>
    <t>A</t>
  </si>
  <si>
    <t>COSTO DIRECTO</t>
  </si>
  <si>
    <t>B</t>
  </si>
  <si>
    <t>GASTOS GENERALES (……% DE A)</t>
  </si>
  <si>
    <t>… %</t>
  </si>
  <si>
    <t>C</t>
  </si>
  <si>
    <t>BENEFICIO (…….% DE A)</t>
  </si>
  <si>
    <t>D</t>
  </si>
  <si>
    <t>SUBTOTAL (A+B+C)</t>
  </si>
  <si>
    <t>E</t>
  </si>
  <si>
    <t>IVA (21% DE D)</t>
  </si>
  <si>
    <t>F</t>
  </si>
  <si>
    <t>TOTAL (D+E)</t>
  </si>
  <si>
    <t>ha</t>
  </si>
  <si>
    <t>Adoquin 25 cuadras</t>
  </si>
  <si>
    <t>MINISTERIO DE ECONOMIA, INFRAESTRUCTURA Y SERVICIOS PUBLICOS</t>
  </si>
  <si>
    <t>SECRETARIA DE OBRAS PUBLICAS</t>
  </si>
  <si>
    <t>Proyecto Ejecuivo</t>
  </si>
  <si>
    <t>MO</t>
  </si>
  <si>
    <t>Materiales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</si>
  <si>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</si>
  <si>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</si>
  <si>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</si>
  <si>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</si>
  <si>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</si>
  <si>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</si>
  <si>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</si>
  <si>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</si>
  <si>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</si>
  <si>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</si>
  <si>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Topadrora D7</t>
  </si>
  <si>
    <t>corregido</t>
  </si>
  <si>
    <t xml:space="preserve">U </t>
  </si>
  <si>
    <t>HORMIGON</t>
  </si>
  <si>
    <t>MES</t>
  </si>
  <si>
    <t>ENERO 2013</t>
  </si>
  <si>
    <t>OBRA: "PAVIMENTACION CON HORMIGON  - PLAYA TRANSFERENCIA DE CARGA</t>
  </si>
  <si>
    <t>ENERO 2014</t>
  </si>
  <si>
    <t>JULIO 2014</t>
  </si>
  <si>
    <t>OBRA: "PAVIMENTACION EN DIVERSAS CUADRAS DE LA LOCALIDAD DE CORONEL MOLDES"</t>
  </si>
  <si>
    <t>PAVIMENTO DE HORMIGÓN POR M2</t>
  </si>
  <si>
    <t>PAVIMENTO DE ADOQUNES INTERTRABADOS POR M2</t>
  </si>
  <si>
    <t>ITEMS</t>
  </si>
  <si>
    <t>UNIDAD</t>
  </si>
  <si>
    <t>MATERIALES</t>
  </si>
  <si>
    <t>C.U.</t>
  </si>
  <si>
    <t>EQUIPO</t>
  </si>
  <si>
    <t>MANO DE OBRA</t>
  </si>
  <si>
    <t>Preparacion de la Subrasante</t>
  </si>
  <si>
    <t>Base granular estabilizada e=15cm</t>
  </si>
  <si>
    <t>Cordon Cuneta e=15cm y 80cm de desarrollo</t>
  </si>
  <si>
    <t>Excavacion para apertura de caja e=30cm</t>
  </si>
  <si>
    <t>COSTO</t>
  </si>
  <si>
    <t xml:space="preserve">SUB TOTAL </t>
  </si>
  <si>
    <t>C.U. de MAT. EQ. Y MO</t>
  </si>
  <si>
    <t>I.V.A. (Solo en los Materiales y Equipo)</t>
  </si>
  <si>
    <t>COMPUTO Y PRESUPUESTO</t>
  </si>
  <si>
    <t>limpieza de obra</t>
  </si>
  <si>
    <t>pavimento hormigon para baden e=0,2</t>
  </si>
  <si>
    <r>
      <t xml:space="preserve">OBRA: </t>
    </r>
    <r>
      <rPr>
        <sz val="12"/>
        <color theme="1"/>
        <rFont val="Arial"/>
        <family val="2"/>
      </rPr>
      <t>“</t>
    </r>
    <r>
      <rPr>
        <b/>
        <sz val="12"/>
        <color theme="1"/>
        <rFont val="Arial"/>
        <family val="2"/>
      </rPr>
      <t>PAVIMENTO DE HORMIGON SIMPLE EN CALLE Tnte Fragata RENZO DAVID MARTIN SILVA – BARRIO SAN RAFAEL, LOCALIDAD DE SAN LORENZO - DPTO. CAPITAL  - PROV. DE SALTA</t>
    </r>
    <r>
      <rPr>
        <sz val="12"/>
        <color theme="1"/>
        <rFont val="Arial"/>
        <family val="2"/>
      </rPr>
      <t>”</t>
    </r>
  </si>
  <si>
    <t>Desde calle Alejandro Polo hasta cabo 1°Melian</t>
  </si>
  <si>
    <t>Desde calle cabo E. Castillo hasta Ara San Juan</t>
  </si>
  <si>
    <t>bocacalle clle C. L. Nolasco</t>
  </si>
  <si>
    <t>CALLE Tnte Fragata RENZO DAVID MARTIN SILVA</t>
  </si>
  <si>
    <t xml:space="preserve">Largo </t>
  </si>
  <si>
    <t>Ancho</t>
  </si>
  <si>
    <t>totales</t>
  </si>
  <si>
    <t>Desde calle Alejandro Polo hasta Ara San Juan</t>
  </si>
  <si>
    <t>SUB TOTAL 2</t>
  </si>
  <si>
    <t>SUB TOTAL 1</t>
  </si>
  <si>
    <t>Transporte 5%</t>
  </si>
  <si>
    <t>Gastos Generales 2%</t>
  </si>
  <si>
    <r>
      <t xml:space="preserve">OBRA: </t>
    </r>
    <r>
      <rPr>
        <sz val="12"/>
        <color theme="1"/>
        <rFont val="Arial"/>
        <family val="2"/>
      </rPr>
      <t>“</t>
    </r>
    <r>
      <rPr>
        <b/>
        <sz val="12"/>
        <color theme="1"/>
        <rFont val="Arial"/>
        <family val="2"/>
      </rPr>
      <t>PAVIMENTO DE HORMIGON SIMPLE EN CALLE Tnte Fragata RENZO DAVID MARTIN SILVA – BARRIO SAN RAFAEL -  LOCALIDAD DE SAN LORENZO - DPTO. CAPITAL  - PROV. DE SALTA</t>
    </r>
    <r>
      <rPr>
        <sz val="12"/>
        <color theme="1"/>
        <rFont val="Arial"/>
        <family val="2"/>
      </rPr>
      <t>”</t>
    </r>
  </si>
  <si>
    <t xml:space="preserve">SON PESOS: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</si>
</sst>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(* #,##0.00_);_(* \(#,##0.00\);_(* &quot;-&quot;??_);_(@_)"/>
    <numFmt numFmtId="169" formatCode="#,##0.0000"/>
    <numFmt numFmtId="170" formatCode="0.0000"/>
    <numFmt numFmtId="171" formatCode="_(* #,##0_);_(* \(#,##0\);_(* &quot;-&quot;??_);_(@_)"/>
    <numFmt numFmtId="172" formatCode="&quot;$&quot;\ #,##0.00"/>
    <numFmt numFmtId="173" formatCode="0.000"/>
    <numFmt numFmtId="174" formatCode="[$$-2C0A]\ #,##0.00"/>
    <numFmt numFmtId="175" formatCode="_ * #,##0.0000000000000000000000_ ;_ * \-#,##0.0000000000000000000000_ ;_ * &quot;-&quot;??_ ;_ @_ "/>
    <numFmt numFmtId="176" formatCode="_ * #,##0.000_ ;_ * \-#,##0.000_ ;_ * &quot;-&quot;??_ ;_ @_ "/>
    <numFmt numFmtId="177" formatCode="_ &quot;$&quot;\ * #,##0.000_ ;_ &quot;$&quot;\ * \-#,##0.000_ ;_ &quot;$&quot;\ * &quot;-&quot;??_ ;_ @_ "/>
    <numFmt numFmtId="178" formatCode="0_)"/>
    <numFmt numFmtId="179" formatCode="&quot;$&quot;\ #.##000;&quot;$&quot;\ \-#.##000"/>
    <numFmt numFmtId="180" formatCode="_ &quot;$&quot;\ * #,##0.000_ ;_ &quot;$&quot;\ * \-#,##0.000_ ;_ &quot;$&quot;\ * &quot;-&quot;_ ;_ @_ "/>
    <numFmt numFmtId="181" formatCode="#,##0.000_ ;\-#,##0.000\ "/>
    <numFmt numFmtId="182" formatCode="_ [$$-2C0A]\ * #,##0.00_ ;_ [$$-2C0A]\ * \-#,##0.00_ ;_ [$$-2C0A]\ * &quot;-&quot;??_ ;_ @_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3"/>
      <color indexed="9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0"/>
      <color indexed="17"/>
      <name val="Bookman Old Style"/>
      <family val="1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0"/>
      <color indexed="48"/>
      <name val="Arial"/>
      <family val="2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167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78" applyNumberFormat="0" applyFill="0" applyAlignment="0" applyProtection="0"/>
    <xf numFmtId="0" fontId="37" fillId="19" borderId="0" applyNumberFormat="0" applyBorder="0" applyAlignment="0" applyProtection="0"/>
    <xf numFmtId="0" fontId="2" fillId="0" borderId="0"/>
  </cellStyleXfs>
  <cellXfs count="541">
    <xf numFmtId="0" fontId="0" fillId="0" borderId="0" xfId="0"/>
    <xf numFmtId="4" fontId="0" fillId="0" borderId="0" xfId="0" applyNumberFormat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0" borderId="10" xfId="0" applyNumberFormat="1" applyBorder="1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8" fillId="0" borderId="6" xfId="15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7" fontId="6" fillId="3" borderId="6" xfId="1" applyFont="1" applyFill="1" applyBorder="1" applyAlignment="1">
      <alignment horizontal="center"/>
    </xf>
    <xf numFmtId="167" fontId="6" fillId="3" borderId="0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4" fontId="8" fillId="0" borderId="17" xfId="3" applyNumberFormat="1" applyFont="1" applyFill="1" applyBorder="1" applyAlignment="1">
      <alignment horizontal="right"/>
    </xf>
    <xf numFmtId="171" fontId="8" fillId="0" borderId="17" xfId="1" applyNumberFormat="1" applyFont="1" applyFill="1" applyBorder="1" applyAlignment="1">
      <alignment horizontal="center"/>
    </xf>
    <xf numFmtId="4" fontId="7" fillId="0" borderId="17" xfId="3" applyNumberFormat="1" applyFont="1" applyFill="1" applyBorder="1"/>
    <xf numFmtId="0" fontId="8" fillId="0" borderId="17" xfId="0" applyFont="1" applyFill="1" applyBorder="1"/>
    <xf numFmtId="173" fontId="7" fillId="0" borderId="17" xfId="0" applyNumberFormat="1" applyFont="1" applyFill="1" applyBorder="1"/>
    <xf numFmtId="0" fontId="7" fillId="0" borderId="17" xfId="0" applyFont="1" applyFill="1" applyBorder="1"/>
    <xf numFmtId="4" fontId="7" fillId="0" borderId="17" xfId="0" applyNumberFormat="1" applyFont="1" applyFill="1" applyBorder="1"/>
    <xf numFmtId="0" fontId="0" fillId="0" borderId="0" xfId="0" applyFill="1"/>
    <xf numFmtId="4" fontId="8" fillId="0" borderId="1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7" fillId="0" borderId="17" xfId="0" applyNumberFormat="1" applyFont="1" applyFill="1" applyBorder="1"/>
    <xf numFmtId="0" fontId="0" fillId="0" borderId="0" xfId="0" applyNumberFormat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167" fontId="0" fillId="0" borderId="0" xfId="0" applyNumberFormat="1"/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" fontId="8" fillId="0" borderId="19" xfId="3" applyNumberFormat="1" applyFont="1" applyFill="1" applyBorder="1" applyAlignment="1">
      <alignment horizontal="right"/>
    </xf>
    <xf numFmtId="171" fontId="8" fillId="0" borderId="19" xfId="1" applyNumberFormat="1" applyFont="1" applyFill="1" applyBorder="1" applyAlignment="1">
      <alignment horizontal="center"/>
    </xf>
    <xf numFmtId="4" fontId="7" fillId="0" borderId="19" xfId="3" applyNumberFormat="1" applyFont="1" applyFill="1" applyBorder="1"/>
    <xf numFmtId="0" fontId="8" fillId="0" borderId="19" xfId="0" applyFont="1" applyFill="1" applyBorder="1"/>
    <xf numFmtId="2" fontId="7" fillId="0" borderId="19" xfId="0" applyNumberFormat="1" applyFont="1" applyFill="1" applyBorder="1"/>
    <xf numFmtId="0" fontId="7" fillId="0" borderId="19" xfId="0" applyFont="1" applyFill="1" applyBorder="1"/>
    <xf numFmtId="4" fontId="7" fillId="0" borderId="19" xfId="0" applyNumberFormat="1" applyFont="1" applyFill="1" applyBorder="1"/>
    <xf numFmtId="4" fontId="8" fillId="0" borderId="19" xfId="0" applyNumberFormat="1" applyFont="1" applyFill="1" applyBorder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168" fontId="6" fillId="0" borderId="0" xfId="1" applyNumberFormat="1" applyFont="1" applyFill="1"/>
    <xf numFmtId="0" fontId="6" fillId="0" borderId="0" xfId="0" applyFont="1" applyFill="1"/>
    <xf numFmtId="10" fontId="2" fillId="0" borderId="0" xfId="15" applyNumberFormat="1"/>
    <xf numFmtId="167" fontId="6" fillId="0" borderId="0" xfId="1" applyFont="1" applyFill="1" applyAlignment="1">
      <alignment horizontal="right"/>
    </xf>
    <xf numFmtId="167" fontId="6" fillId="0" borderId="0" xfId="1" applyFont="1" applyFill="1"/>
    <xf numFmtId="9" fontId="0" fillId="0" borderId="0" xfId="15" applyFont="1"/>
    <xf numFmtId="0" fontId="5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3" fillId="0" borderId="21" xfId="0" applyFont="1" applyBorder="1" applyAlignment="1">
      <alignment horizontal="left"/>
    </xf>
    <xf numFmtId="0" fontId="3" fillId="0" borderId="21" xfId="0" applyFont="1" applyBorder="1"/>
    <xf numFmtId="10" fontId="3" fillId="0" borderId="21" xfId="0" applyNumberFormat="1" applyFont="1" applyBorder="1" applyAlignment="1">
      <alignment horizontal="right"/>
    </xf>
    <xf numFmtId="0" fontId="4" fillId="0" borderId="21" xfId="0" applyFont="1" applyBorder="1"/>
    <xf numFmtId="170" fontId="3" fillId="0" borderId="21" xfId="0" applyNumberFormat="1" applyFont="1" applyBorder="1"/>
    <xf numFmtId="0" fontId="4" fillId="0" borderId="22" xfId="0" applyFont="1" applyBorder="1"/>
    <xf numFmtId="170" fontId="3" fillId="0" borderId="22" xfId="0" applyNumberFormat="1" applyFont="1" applyBorder="1"/>
    <xf numFmtId="0" fontId="4" fillId="0" borderId="21" xfId="0" applyFont="1" applyBorder="1" applyAlignment="1">
      <alignment horizontal="left"/>
    </xf>
    <xf numFmtId="0" fontId="4" fillId="0" borderId="23" xfId="0" applyFont="1" applyBorder="1"/>
    <xf numFmtId="170" fontId="3" fillId="0" borderId="23" xfId="0" applyNumberFormat="1" applyFont="1" applyBorder="1"/>
    <xf numFmtId="0" fontId="3" fillId="0" borderId="24" xfId="0" applyFont="1" applyBorder="1" applyAlignment="1">
      <alignment horizontal="left"/>
    </xf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0" fontId="4" fillId="0" borderId="24" xfId="0" applyFont="1" applyBorder="1"/>
    <xf numFmtId="170" fontId="3" fillId="0" borderId="24" xfId="0" applyNumberFormat="1" applyFont="1" applyBorder="1"/>
    <xf numFmtId="0" fontId="4" fillId="0" borderId="25" xfId="0" applyFont="1" applyBorder="1" applyAlignment="1">
      <alignment horizontal="left"/>
    </xf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170" fontId="4" fillId="0" borderId="27" xfId="0" applyNumberFormat="1" applyFont="1" applyBorder="1"/>
    <xf numFmtId="0" fontId="3" fillId="0" borderId="22" xfId="0" applyFont="1" applyBorder="1" applyAlignment="1">
      <alignment horizontal="left"/>
    </xf>
    <xf numFmtId="0" fontId="3" fillId="0" borderId="22" xfId="0" applyFont="1" applyBorder="1"/>
    <xf numFmtId="0" fontId="3" fillId="0" borderId="22" xfId="0" applyFont="1" applyBorder="1" applyAlignment="1">
      <alignment horizontal="right"/>
    </xf>
    <xf numFmtId="166" fontId="0" fillId="0" borderId="28" xfId="3" applyFont="1" applyBorder="1"/>
    <xf numFmtId="166" fontId="0" fillId="0" borderId="29" xfId="3" applyFont="1" applyBorder="1"/>
    <xf numFmtId="166" fontId="0" fillId="0" borderId="30" xfId="3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/>
    <xf numFmtId="166" fontId="0" fillId="0" borderId="37" xfId="3" applyFont="1" applyBorder="1"/>
    <xf numFmtId="0" fontId="4" fillId="0" borderId="38" xfId="0" applyFont="1" applyBorder="1" applyAlignment="1">
      <alignment horizontal="center"/>
    </xf>
    <xf numFmtId="166" fontId="0" fillId="0" borderId="39" xfId="3" applyFont="1" applyBorder="1"/>
    <xf numFmtId="166" fontId="0" fillId="0" borderId="40" xfId="3" applyFont="1" applyBorder="1"/>
    <xf numFmtId="0" fontId="15" fillId="0" borderId="0" xfId="8" applyFont="1"/>
    <xf numFmtId="0" fontId="15" fillId="4" borderId="0" xfId="8" applyFont="1" applyFill="1"/>
    <xf numFmtId="0" fontId="15" fillId="0" borderId="0" xfId="8" applyFont="1" applyAlignment="1">
      <alignment horizontal="center"/>
    </xf>
    <xf numFmtId="0" fontId="9" fillId="0" borderId="0" xfId="8" applyFont="1" applyAlignment="1"/>
    <xf numFmtId="172" fontId="15" fillId="0" borderId="0" xfId="2" applyNumberFormat="1" applyFont="1"/>
    <xf numFmtId="175" fontId="6" fillId="0" borderId="0" xfId="2" applyNumberFormat="1" applyFont="1"/>
    <xf numFmtId="176" fontId="15" fillId="0" borderId="0" xfId="2" applyNumberFormat="1" applyFont="1"/>
    <xf numFmtId="0" fontId="9" fillId="0" borderId="0" xfId="8" applyFont="1"/>
    <xf numFmtId="172" fontId="15" fillId="5" borderId="0" xfId="2" applyNumberFormat="1" applyFont="1" applyFill="1" applyBorder="1"/>
    <xf numFmtId="0" fontId="9" fillId="6" borderId="20" xfId="8" applyFont="1" applyFill="1" applyBorder="1" applyAlignment="1" applyProtection="1">
      <alignment horizontal="center" vertical="center"/>
    </xf>
    <xf numFmtId="172" fontId="9" fillId="6" borderId="41" xfId="2" applyNumberFormat="1" applyFont="1" applyFill="1" applyBorder="1" applyAlignment="1" applyProtection="1">
      <alignment horizontal="center" vertical="center"/>
    </xf>
    <xf numFmtId="175" fontId="9" fillId="6" borderId="42" xfId="2" applyNumberFormat="1" applyFont="1" applyFill="1" applyBorder="1" applyAlignment="1">
      <alignment horizontal="center" vertical="center"/>
    </xf>
    <xf numFmtId="176" fontId="9" fillId="6" borderId="43" xfId="2" applyNumberFormat="1" applyFont="1" applyFill="1" applyBorder="1" applyAlignment="1">
      <alignment horizontal="center" vertical="center"/>
    </xf>
    <xf numFmtId="0" fontId="15" fillId="2" borderId="0" xfId="8" applyFont="1" applyFill="1"/>
    <xf numFmtId="177" fontId="9" fillId="6" borderId="38" xfId="5" applyNumberFormat="1" applyFont="1" applyFill="1" applyBorder="1" applyAlignment="1">
      <alignment horizontal="center" vertical="center"/>
    </xf>
    <xf numFmtId="172" fontId="19" fillId="0" borderId="44" xfId="8" applyNumberFormat="1" applyFont="1" applyFill="1" applyBorder="1" applyProtection="1">
      <protection locked="0"/>
    </xf>
    <xf numFmtId="175" fontId="20" fillId="0" borderId="45" xfId="8" applyNumberFormat="1" applyFont="1" applyFill="1" applyBorder="1" applyProtection="1">
      <protection locked="0"/>
    </xf>
    <xf numFmtId="173" fontId="20" fillId="7" borderId="46" xfId="8" applyNumberFormat="1" applyFont="1" applyFill="1" applyBorder="1" applyProtection="1">
      <protection locked="0"/>
    </xf>
    <xf numFmtId="0" fontId="15" fillId="0" borderId="0" xfId="8" applyFont="1" applyFill="1"/>
    <xf numFmtId="2" fontId="15" fillId="0" borderId="0" xfId="8" applyNumberFormat="1" applyFont="1"/>
    <xf numFmtId="0" fontId="6" fillId="7" borderId="14" xfId="8" applyFont="1" applyFill="1" applyBorder="1" applyAlignment="1" applyProtection="1"/>
    <xf numFmtId="0" fontId="6" fillId="7" borderId="14" xfId="8" applyFont="1" applyFill="1" applyBorder="1" applyAlignment="1" applyProtection="1">
      <alignment horizontal="center"/>
    </xf>
    <xf numFmtId="172" fontId="19" fillId="0" borderId="47" xfId="8" applyNumberFormat="1" applyFont="1" applyFill="1" applyBorder="1" applyProtection="1">
      <protection locked="0"/>
    </xf>
    <xf numFmtId="175" fontId="20" fillId="0" borderId="14" xfId="8" applyNumberFormat="1" applyFont="1" applyFill="1" applyBorder="1" applyProtection="1">
      <protection locked="0"/>
    </xf>
    <xf numFmtId="173" fontId="20" fillId="7" borderId="48" xfId="8" applyNumberFormat="1" applyFont="1" applyFill="1" applyBorder="1" applyProtection="1">
      <protection locked="0"/>
    </xf>
    <xf numFmtId="173" fontId="15" fillId="0" borderId="0" xfId="8" applyNumberFormat="1" applyFont="1"/>
    <xf numFmtId="175" fontId="20" fillId="7" borderId="14" xfId="8" applyNumberFormat="1" applyFont="1" applyFill="1" applyBorder="1" applyProtection="1">
      <protection locked="0"/>
    </xf>
    <xf numFmtId="173" fontId="20" fillId="7" borderId="48" xfId="5" applyNumberFormat="1" applyFont="1" applyFill="1" applyBorder="1"/>
    <xf numFmtId="0" fontId="22" fillId="0" borderId="0" xfId="8" applyFont="1"/>
    <xf numFmtId="172" fontId="20" fillId="0" borderId="47" xfId="8" applyNumberFormat="1" applyFont="1" applyFill="1" applyBorder="1" applyProtection="1">
      <protection locked="0"/>
    </xf>
    <xf numFmtId="172" fontId="20" fillId="4" borderId="47" xfId="5" applyNumberFormat="1" applyFont="1" applyFill="1" applyBorder="1"/>
    <xf numFmtId="177" fontId="20" fillId="7" borderId="48" xfId="5" applyNumberFormat="1" applyFont="1" applyFill="1" applyBorder="1"/>
    <xf numFmtId="172" fontId="19" fillId="7" borderId="47" xfId="8" applyNumberFormat="1" applyFont="1" applyFill="1" applyBorder="1" applyProtection="1">
      <protection locked="0"/>
    </xf>
    <xf numFmtId="175" fontId="20" fillId="0" borderId="14" xfId="8" applyNumberFormat="1" applyFont="1" applyBorder="1" applyProtection="1">
      <protection locked="0"/>
    </xf>
    <xf numFmtId="0" fontId="20" fillId="7" borderId="48" xfId="8" applyFont="1" applyFill="1" applyBorder="1" applyProtection="1">
      <protection locked="0"/>
    </xf>
    <xf numFmtId="0" fontId="15" fillId="7" borderId="0" xfId="8" applyFont="1" applyFill="1"/>
    <xf numFmtId="173" fontId="19" fillId="7" borderId="48" xfId="8" applyNumberFormat="1" applyFont="1" applyFill="1" applyBorder="1" applyProtection="1">
      <protection locked="0"/>
    </xf>
    <xf numFmtId="173" fontId="20" fillId="0" borderId="48" xfId="8" applyNumberFormat="1" applyFont="1" applyBorder="1" applyProtection="1">
      <protection locked="0"/>
    </xf>
    <xf numFmtId="172" fontId="20" fillId="7" borderId="47" xfId="8" applyNumberFormat="1" applyFont="1" applyFill="1" applyBorder="1" applyProtection="1">
      <protection locked="0"/>
    </xf>
    <xf numFmtId="173" fontId="19" fillId="7" borderId="48" xfId="5" applyNumberFormat="1" applyFont="1" applyFill="1" applyBorder="1"/>
    <xf numFmtId="0" fontId="22" fillId="0" borderId="0" xfId="8" applyFont="1" applyFill="1"/>
    <xf numFmtId="0" fontId="6" fillId="0" borderId="0" xfId="8" applyFont="1"/>
    <xf numFmtId="173" fontId="20" fillId="0" borderId="48" xfId="8" applyNumberFormat="1" applyFont="1" applyFill="1" applyBorder="1" applyProtection="1">
      <protection locked="0"/>
    </xf>
    <xf numFmtId="0" fontId="20" fillId="0" borderId="48" xfId="8" applyFont="1" applyFill="1" applyBorder="1" applyProtection="1">
      <protection locked="0"/>
    </xf>
    <xf numFmtId="0" fontId="23" fillId="0" borderId="0" xfId="8" applyFont="1"/>
    <xf numFmtId="173" fontId="6" fillId="0" borderId="21" xfId="8" applyNumberFormat="1" applyFont="1" applyFill="1" applyBorder="1" applyProtection="1">
      <protection locked="0"/>
    </xf>
    <xf numFmtId="172" fontId="24" fillId="0" borderId="47" xfId="5" applyNumberFormat="1" applyFont="1" applyFill="1" applyBorder="1" applyAlignment="1">
      <alignment horizontal="right"/>
    </xf>
    <xf numFmtId="172" fontId="19" fillId="0" borderId="47" xfId="2" applyNumberFormat="1" applyFont="1" applyBorder="1"/>
    <xf numFmtId="0" fontId="6" fillId="0" borderId="14" xfId="8" applyFont="1" applyFill="1" applyBorder="1" applyAlignment="1" applyProtection="1">
      <alignment vertical="center"/>
    </xf>
    <xf numFmtId="172" fontId="19" fillId="0" borderId="47" xfId="8" applyNumberFormat="1" applyFont="1" applyBorder="1" applyAlignment="1" applyProtection="1">
      <alignment horizontal="right"/>
      <protection locked="0"/>
    </xf>
    <xf numFmtId="175" fontId="20" fillId="0" borderId="14" xfId="8" applyNumberFormat="1" applyFont="1" applyFill="1" applyBorder="1" applyAlignment="1" applyProtection="1">
      <alignment horizontal="right"/>
      <protection locked="0"/>
    </xf>
    <xf numFmtId="172" fontId="19" fillId="0" borderId="47" xfId="8" applyNumberFormat="1" applyFont="1" applyBorder="1" applyProtection="1">
      <protection locked="0"/>
    </xf>
    <xf numFmtId="0" fontId="6" fillId="0" borderId="14" xfId="8" applyFont="1" applyFill="1" applyBorder="1" applyAlignment="1" applyProtection="1">
      <alignment horizontal="center" vertical="center"/>
    </xf>
    <xf numFmtId="175" fontId="20" fillId="0" borderId="14" xfId="8" applyNumberFormat="1" applyFont="1" applyFill="1" applyBorder="1" applyAlignment="1">
      <alignment vertical="center"/>
    </xf>
    <xf numFmtId="172" fontId="20" fillId="0" borderId="47" xfId="8" applyNumberFormat="1" applyFont="1" applyBorder="1" applyProtection="1">
      <protection locked="0"/>
    </xf>
    <xf numFmtId="176" fontId="19" fillId="0" borderId="14" xfId="8" applyNumberFormat="1" applyFont="1" applyFill="1" applyBorder="1" applyAlignment="1">
      <alignment vertical="center"/>
    </xf>
    <xf numFmtId="0" fontId="6" fillId="2" borderId="14" xfId="8" applyFont="1" applyFill="1" applyBorder="1" applyAlignment="1" applyProtection="1">
      <alignment vertical="center"/>
    </xf>
    <xf numFmtId="176" fontId="25" fillId="0" borderId="14" xfId="8" applyNumberFormat="1" applyFont="1" applyFill="1" applyBorder="1" applyAlignment="1">
      <alignment vertical="center"/>
    </xf>
    <xf numFmtId="176" fontId="20" fillId="0" borderId="14" xfId="8" applyNumberFormat="1" applyFont="1" applyFill="1" applyBorder="1" applyAlignment="1">
      <alignment vertical="center"/>
    </xf>
    <xf numFmtId="172" fontId="25" fillId="0" borderId="47" xfId="8" applyNumberFormat="1" applyFont="1" applyBorder="1" applyProtection="1">
      <protection locked="0"/>
    </xf>
    <xf numFmtId="0" fontId="20" fillId="7" borderId="48" xfId="8" applyFont="1" applyFill="1" applyBorder="1" applyProtection="1"/>
    <xf numFmtId="172" fontId="25" fillId="0" borderId="47" xfId="8" applyNumberFormat="1" applyFont="1" applyFill="1" applyBorder="1" applyProtection="1">
      <protection locked="0"/>
    </xf>
    <xf numFmtId="175" fontId="20" fillId="7" borderId="14" xfId="8" applyNumberFormat="1" applyFont="1" applyFill="1" applyBorder="1" applyProtection="1"/>
    <xf numFmtId="176" fontId="20" fillId="7" borderId="48" xfId="2" applyNumberFormat="1" applyFont="1" applyFill="1" applyBorder="1" applyProtection="1"/>
    <xf numFmtId="175" fontId="20" fillId="7" borderId="14" xfId="2" applyNumberFormat="1" applyFont="1" applyFill="1" applyBorder="1" applyProtection="1"/>
    <xf numFmtId="176" fontId="20" fillId="7" borderId="48" xfId="2" applyNumberFormat="1" applyFont="1" applyFill="1" applyBorder="1" applyProtection="1">
      <protection locked="0"/>
    </xf>
    <xf numFmtId="175" fontId="20" fillId="7" borderId="14" xfId="2" applyNumberFormat="1" applyFont="1" applyFill="1" applyBorder="1" applyProtection="1">
      <protection locked="0"/>
    </xf>
    <xf numFmtId="0" fontId="6" fillId="7" borderId="0" xfId="8" applyFont="1" applyFill="1"/>
    <xf numFmtId="170" fontId="15" fillId="0" borderId="0" xfId="8" applyNumberFormat="1" applyFont="1"/>
    <xf numFmtId="0" fontId="21" fillId="8" borderId="49" xfId="12" applyFont="1" applyFill="1" applyBorder="1" applyAlignment="1">
      <alignment horizontal="center"/>
    </xf>
    <xf numFmtId="172" fontId="25" fillId="0" borderId="47" xfId="2" applyNumberFormat="1" applyFont="1" applyFill="1" applyBorder="1" applyProtection="1">
      <protection locked="0"/>
    </xf>
    <xf numFmtId="172" fontId="20" fillId="3" borderId="47" xfId="2" applyNumberFormat="1" applyFont="1" applyFill="1" applyBorder="1" applyProtection="1"/>
    <xf numFmtId="175" fontId="23" fillId="7" borderId="14" xfId="2" applyNumberFormat="1" applyFont="1" applyFill="1" applyBorder="1" applyProtection="1"/>
    <xf numFmtId="179" fontId="21" fillId="0" borderId="1" xfId="12" applyNumberFormat="1" applyFont="1" applyFill="1" applyBorder="1" applyAlignment="1">
      <alignment horizontal="right" wrapText="1"/>
    </xf>
    <xf numFmtId="176" fontId="20" fillId="7" borderId="50" xfId="2" quotePrefix="1" applyNumberFormat="1" applyFont="1" applyFill="1" applyBorder="1" applyProtection="1">
      <protection locked="0"/>
    </xf>
    <xf numFmtId="172" fontId="20" fillId="7" borderId="47" xfId="2" applyNumberFormat="1" applyFont="1" applyFill="1" applyBorder="1" applyProtection="1">
      <protection locked="0"/>
    </xf>
    <xf numFmtId="176" fontId="25" fillId="7" borderId="48" xfId="2" quotePrefix="1" applyNumberFormat="1" applyFont="1" applyFill="1" applyBorder="1" applyProtection="1">
      <protection locked="0"/>
    </xf>
    <xf numFmtId="0" fontId="6" fillId="3" borderId="0" xfId="8" applyFont="1" applyFill="1"/>
    <xf numFmtId="177" fontId="25" fillId="9" borderId="48" xfId="5" applyNumberFormat="1" applyFont="1" applyFill="1" applyBorder="1"/>
    <xf numFmtId="176" fontId="20" fillId="9" borderId="48" xfId="2" applyNumberFormat="1" applyFont="1" applyFill="1" applyBorder="1" applyProtection="1"/>
    <xf numFmtId="177" fontId="20" fillId="9" borderId="48" xfId="5" applyNumberFormat="1" applyFont="1" applyFill="1" applyBorder="1" applyProtection="1"/>
    <xf numFmtId="172" fontId="23" fillId="10" borderId="47" xfId="2" applyNumberFormat="1" applyFont="1" applyFill="1" applyBorder="1"/>
    <xf numFmtId="175" fontId="20" fillId="10" borderId="14" xfId="2" applyNumberFormat="1" applyFont="1" applyFill="1" applyBorder="1" applyProtection="1">
      <protection locked="0"/>
    </xf>
    <xf numFmtId="176" fontId="20" fillId="7" borderId="51" xfId="2" quotePrefix="1" applyNumberFormat="1" applyFont="1" applyFill="1" applyBorder="1" applyProtection="1">
      <protection locked="0"/>
    </xf>
    <xf numFmtId="172" fontId="25" fillId="5" borderId="47" xfId="2" applyNumberFormat="1" applyFont="1" applyFill="1" applyBorder="1" applyProtection="1">
      <protection locked="0"/>
    </xf>
    <xf numFmtId="172" fontId="20" fillId="0" borderId="47" xfId="2" applyNumberFormat="1" applyFont="1" applyFill="1" applyBorder="1" applyProtection="1">
      <protection locked="0"/>
    </xf>
    <xf numFmtId="0" fontId="15" fillId="5" borderId="0" xfId="8" applyFont="1" applyFill="1" applyAlignment="1">
      <alignment horizontal="center"/>
    </xf>
    <xf numFmtId="0" fontId="15" fillId="5" borderId="0" xfId="8" applyFont="1" applyFill="1"/>
    <xf numFmtId="176" fontId="25" fillId="9" borderId="48" xfId="2" quotePrefix="1" applyNumberFormat="1" applyFont="1" applyFill="1" applyBorder="1" applyProtection="1">
      <protection locked="0"/>
    </xf>
    <xf numFmtId="0" fontId="15" fillId="3" borderId="0" xfId="8" applyFont="1" applyFill="1"/>
    <xf numFmtId="0" fontId="6" fillId="7" borderId="21" xfId="8" applyFont="1" applyFill="1" applyBorder="1" applyAlignment="1" applyProtection="1"/>
    <xf numFmtId="176" fontId="25" fillId="9" borderId="48" xfId="2" applyNumberFormat="1" applyFont="1" applyFill="1" applyBorder="1" applyProtection="1">
      <protection locked="0"/>
    </xf>
    <xf numFmtId="176" fontId="15" fillId="0" borderId="0" xfId="8" applyNumberFormat="1" applyFont="1"/>
    <xf numFmtId="172" fontId="25" fillId="5" borderId="47" xfId="8" applyNumberFormat="1" applyFont="1" applyFill="1" applyBorder="1"/>
    <xf numFmtId="0" fontId="20" fillId="0" borderId="48" xfId="8" applyFont="1" applyBorder="1"/>
    <xf numFmtId="176" fontId="20" fillId="0" borderId="48" xfId="2" applyNumberFormat="1" applyFont="1" applyFill="1" applyBorder="1" applyProtection="1">
      <protection locked="0"/>
    </xf>
    <xf numFmtId="172" fontId="25" fillId="5" borderId="47" xfId="2" applyNumberFormat="1" applyFont="1" applyFill="1" applyBorder="1" applyProtection="1"/>
    <xf numFmtId="172" fontId="25" fillId="5" borderId="47" xfId="17" applyNumberFormat="1" applyFont="1" applyFill="1" applyBorder="1" applyProtection="1">
      <protection locked="0"/>
    </xf>
    <xf numFmtId="172" fontId="19" fillId="0" borderId="47" xfId="2" applyNumberFormat="1" applyFont="1" applyFill="1" applyBorder="1" applyProtection="1">
      <protection locked="0"/>
    </xf>
    <xf numFmtId="172" fontId="25" fillId="9" borderId="47" xfId="2" applyNumberFormat="1" applyFont="1" applyFill="1" applyBorder="1" applyProtection="1">
      <protection locked="0"/>
    </xf>
    <xf numFmtId="175" fontId="20" fillId="0" borderId="14" xfId="2" applyNumberFormat="1" applyFont="1" applyFill="1" applyBorder="1" applyProtection="1">
      <protection locked="0"/>
    </xf>
    <xf numFmtId="0" fontId="6" fillId="0" borderId="0" xfId="8" applyFont="1" applyFill="1"/>
    <xf numFmtId="172" fontId="25" fillId="0" borderId="47" xfId="8" applyNumberFormat="1" applyFont="1" applyFill="1" applyBorder="1" applyAlignment="1">
      <alignment vertical="center"/>
    </xf>
    <xf numFmtId="172" fontId="20" fillId="0" borderId="47" xfId="8" applyNumberFormat="1" applyFont="1" applyFill="1" applyBorder="1" applyAlignment="1">
      <alignment vertical="center"/>
    </xf>
    <xf numFmtId="172" fontId="15" fillId="0" borderId="0" xfId="2" applyNumberFormat="1" applyFont="1" applyBorder="1"/>
    <xf numFmtId="172" fontId="25" fillId="7" borderId="47" xfId="2" applyNumberFormat="1" applyFont="1" applyFill="1" applyBorder="1" applyProtection="1">
      <protection locked="0"/>
    </xf>
    <xf numFmtId="172" fontId="26" fillId="0" borderId="47" xfId="5" applyNumberFormat="1" applyFont="1" applyFill="1" applyBorder="1" applyAlignment="1"/>
    <xf numFmtId="180" fontId="20" fillId="7" borderId="48" xfId="4" applyNumberFormat="1" applyFont="1" applyFill="1" applyBorder="1" applyProtection="1">
      <protection locked="0"/>
    </xf>
    <xf numFmtId="172" fontId="15" fillId="0" borderId="47" xfId="2" applyNumberFormat="1" applyFont="1" applyBorder="1"/>
    <xf numFmtId="0" fontId="6" fillId="3" borderId="0" xfId="8" applyFont="1" applyFill="1" applyBorder="1"/>
    <xf numFmtId="0" fontId="6" fillId="7" borderId="0" xfId="8" applyFont="1" applyFill="1" applyBorder="1"/>
    <xf numFmtId="177" fontId="20" fillId="9" borderId="48" xfId="5" applyNumberFormat="1" applyFont="1" applyFill="1" applyBorder="1"/>
    <xf numFmtId="170" fontId="15" fillId="5" borderId="0" xfId="8" applyNumberFormat="1" applyFont="1" applyFill="1"/>
    <xf numFmtId="0" fontId="15" fillId="0" borderId="0" xfId="8" quotePrefix="1" applyFont="1"/>
    <xf numFmtId="10" fontId="15" fillId="0" borderId="0" xfId="8" applyNumberFormat="1" applyFont="1"/>
    <xf numFmtId="172" fontId="25" fillId="3" borderId="47" xfId="2" applyNumberFormat="1" applyFont="1" applyFill="1" applyBorder="1" applyProtection="1"/>
    <xf numFmtId="172" fontId="25" fillId="3" borderId="47" xfId="2" applyNumberFormat="1" applyFont="1" applyFill="1" applyBorder="1" applyProtection="1">
      <protection locked="0"/>
    </xf>
    <xf numFmtId="172" fontId="25" fillId="0" borderId="47" xfId="2" applyNumberFormat="1" applyFont="1" applyBorder="1" applyProtection="1">
      <protection locked="0"/>
    </xf>
    <xf numFmtId="0" fontId="6" fillId="0" borderId="14" xfId="8" applyFont="1" applyFill="1" applyBorder="1" applyAlignment="1" applyProtection="1"/>
    <xf numFmtId="172" fontId="25" fillId="11" borderId="47" xfId="2" applyNumberFormat="1" applyFont="1" applyFill="1" applyBorder="1" applyProtection="1">
      <protection locked="0"/>
    </xf>
    <xf numFmtId="0" fontId="15" fillId="6" borderId="0" xfId="8" applyFont="1" applyFill="1"/>
    <xf numFmtId="0" fontId="15" fillId="6" borderId="0" xfId="8" quotePrefix="1" applyFont="1" applyFill="1" applyAlignment="1">
      <alignment horizontal="right"/>
    </xf>
    <xf numFmtId="0" fontId="27" fillId="0" borderId="0" xfId="8" applyFont="1"/>
    <xf numFmtId="2" fontId="6" fillId="3" borderId="0" xfId="8" applyNumberFormat="1" applyFont="1" applyFill="1"/>
    <xf numFmtId="173" fontId="15" fillId="6" borderId="0" xfId="8" applyNumberFormat="1" applyFont="1" applyFill="1"/>
    <xf numFmtId="2" fontId="15" fillId="3" borderId="0" xfId="8" applyNumberFormat="1" applyFont="1" applyFill="1"/>
    <xf numFmtId="173" fontId="15" fillId="9" borderId="0" xfId="8" applyNumberFormat="1" applyFont="1" applyFill="1"/>
    <xf numFmtId="0" fontId="6" fillId="0" borderId="14" xfId="8" applyFont="1" applyFill="1" applyBorder="1" applyAlignment="1" applyProtection="1">
      <alignment horizontal="center"/>
    </xf>
    <xf numFmtId="176" fontId="20" fillId="7" borderId="48" xfId="2" quotePrefix="1" applyNumberFormat="1" applyFont="1" applyFill="1" applyBorder="1" applyProtection="1">
      <protection locked="0"/>
    </xf>
    <xf numFmtId="0" fontId="21" fillId="0" borderId="14" xfId="13" applyFont="1" applyFill="1" applyBorder="1" applyAlignment="1">
      <alignment horizontal="left" wrapText="1"/>
    </xf>
    <xf numFmtId="181" fontId="28" fillId="0" borderId="48" xfId="5" applyNumberFormat="1" applyFont="1" applyBorder="1" applyAlignment="1"/>
    <xf numFmtId="177" fontId="20" fillId="0" borderId="48" xfId="5" applyNumberFormat="1" applyFont="1" applyFill="1" applyBorder="1"/>
    <xf numFmtId="0" fontId="15" fillId="0" borderId="0" xfId="8" applyFont="1" applyAlignment="1">
      <alignment horizontal="right"/>
    </xf>
    <xf numFmtId="177" fontId="6" fillId="3" borderId="51" xfId="5" applyNumberFormat="1" applyFont="1" applyFill="1" applyBorder="1"/>
    <xf numFmtId="176" fontId="6" fillId="7" borderId="51" xfId="2" quotePrefix="1" applyNumberFormat="1" applyFont="1" applyFill="1" applyBorder="1" applyProtection="1">
      <protection locked="0"/>
    </xf>
    <xf numFmtId="173" fontId="15" fillId="5" borderId="0" xfId="8" applyNumberFormat="1" applyFont="1" applyFill="1"/>
    <xf numFmtId="175" fontId="23" fillId="0" borderId="14" xfId="8" applyNumberFormat="1" applyFont="1" applyBorder="1"/>
    <xf numFmtId="175" fontId="21" fillId="0" borderId="14" xfId="12" applyNumberFormat="1" applyFont="1" applyFill="1" applyBorder="1" applyAlignment="1">
      <alignment horizontal="center"/>
    </xf>
    <xf numFmtId="175" fontId="15" fillId="0" borderId="14" xfId="8" applyNumberFormat="1" applyFont="1" applyBorder="1"/>
    <xf numFmtId="176" fontId="20" fillId="0" borderId="48" xfId="2" applyNumberFormat="1" applyFont="1" applyBorder="1" applyProtection="1">
      <protection locked="0"/>
    </xf>
    <xf numFmtId="172" fontId="29" fillId="0" borderId="47" xfId="8" applyNumberFormat="1" applyFont="1" applyFill="1" applyBorder="1" applyAlignment="1">
      <alignment horizontal="right" vertical="center"/>
    </xf>
    <xf numFmtId="172" fontId="20" fillId="0" borderId="47" xfId="5" applyNumberFormat="1" applyFont="1" applyFill="1" applyBorder="1" applyAlignment="1">
      <alignment vertical="center"/>
    </xf>
    <xf numFmtId="172" fontId="25" fillId="0" borderId="52" xfId="2" applyNumberFormat="1" applyFont="1" applyFill="1" applyBorder="1" applyProtection="1">
      <protection locked="0"/>
    </xf>
    <xf numFmtId="175" fontId="20" fillId="7" borderId="53" xfId="2" applyNumberFormat="1" applyFont="1" applyFill="1" applyBorder="1" applyProtection="1">
      <protection locked="0"/>
    </xf>
    <xf numFmtId="176" fontId="20" fillId="7" borderId="54" xfId="2" applyNumberFormat="1" applyFont="1" applyFill="1" applyBorder="1" applyProtection="1">
      <protection locked="0"/>
    </xf>
    <xf numFmtId="172" fontId="21" fillId="0" borderId="55" xfId="12" applyNumberFormat="1" applyFont="1" applyFill="1" applyBorder="1" applyAlignment="1">
      <alignment horizontal="right" wrapText="1"/>
    </xf>
    <xf numFmtId="175" fontId="15" fillId="0" borderId="0" xfId="2" applyNumberFormat="1" applyFont="1"/>
    <xf numFmtId="172" fontId="9" fillId="0" borderId="0" xfId="2" applyNumberFormat="1" applyFont="1"/>
    <xf numFmtId="175" fontId="9" fillId="0" borderId="0" xfId="2" applyNumberFormat="1" applyFont="1"/>
    <xf numFmtId="176" fontId="9" fillId="0" borderId="0" xfId="2" applyNumberFormat="1" applyFont="1"/>
    <xf numFmtId="0" fontId="15" fillId="0" borderId="0" xfId="8" applyFont="1" applyAlignment="1">
      <alignment horizontal="left"/>
    </xf>
    <xf numFmtId="0" fontId="30" fillId="0" borderId="14" xfId="9" applyFont="1" applyFill="1" applyBorder="1" applyAlignment="1">
      <alignment horizontal="left" wrapText="1"/>
    </xf>
    <xf numFmtId="0" fontId="30" fillId="0" borderId="14" xfId="9" applyFont="1" applyFill="1" applyBorder="1" applyAlignment="1">
      <alignment horizontal="center" wrapText="1"/>
    </xf>
    <xf numFmtId="0" fontId="30" fillId="0" borderId="14" xfId="10" applyFont="1" applyFill="1" applyBorder="1" applyAlignment="1">
      <alignment horizontal="left" wrapText="1"/>
    </xf>
    <xf numFmtId="0" fontId="30" fillId="0" borderId="14" xfId="10" applyFont="1" applyFill="1" applyBorder="1" applyAlignment="1">
      <alignment horizontal="center" wrapText="1"/>
    </xf>
    <xf numFmtId="0" fontId="15" fillId="0" borderId="14" xfId="8" applyFont="1" applyBorder="1" applyAlignment="1">
      <alignment horizontal="center"/>
    </xf>
    <xf numFmtId="0" fontId="21" fillId="0" borderId="14" xfId="10" applyFont="1" applyFill="1" applyBorder="1" applyAlignment="1">
      <alignment wrapText="1"/>
    </xf>
    <xf numFmtId="0" fontId="21" fillId="0" borderId="14" xfId="10" applyFont="1" applyFill="1" applyBorder="1" applyAlignment="1">
      <alignment horizontal="center" wrapText="1"/>
    </xf>
    <xf numFmtId="0" fontId="21" fillId="0" borderId="14" xfId="14" applyFont="1" applyFill="1" applyBorder="1" applyAlignment="1">
      <alignment wrapText="1"/>
    </xf>
    <xf numFmtId="0" fontId="21" fillId="0" borderId="14" xfId="14" applyFont="1" applyFill="1" applyBorder="1" applyAlignment="1">
      <alignment horizontal="center" wrapText="1"/>
    </xf>
    <xf numFmtId="0" fontId="21" fillId="0" borderId="1" xfId="14" applyFont="1" applyFill="1" applyBorder="1" applyAlignment="1">
      <alignment wrapText="1"/>
    </xf>
    <xf numFmtId="0" fontId="6" fillId="12" borderId="14" xfId="8" applyFont="1" applyFill="1" applyBorder="1" applyAlignment="1" applyProtection="1">
      <alignment horizontal="left"/>
    </xf>
    <xf numFmtId="0" fontId="21" fillId="0" borderId="14" xfId="8" applyFont="1" applyBorder="1"/>
    <xf numFmtId="0" fontId="21" fillId="13" borderId="14" xfId="11" applyFont="1" applyFill="1" applyBorder="1" applyAlignment="1">
      <alignment wrapText="1"/>
    </xf>
    <xf numFmtId="0" fontId="21" fillId="0" borderId="14" xfId="11" applyFont="1" applyFill="1" applyBorder="1" applyAlignment="1">
      <alignment wrapText="1"/>
    </xf>
    <xf numFmtId="0" fontId="21" fillId="0" borderId="14" xfId="11" applyFont="1" applyFill="1" applyBorder="1" applyAlignment="1">
      <alignment horizontal="center" wrapText="1"/>
    </xf>
    <xf numFmtId="0" fontId="3" fillId="0" borderId="14" xfId="10" applyFont="1" applyFill="1" applyBorder="1" applyAlignment="1">
      <alignment wrapText="1"/>
    </xf>
    <xf numFmtId="0" fontId="3" fillId="0" borderId="14" xfId="10" applyFont="1" applyFill="1" applyBorder="1" applyAlignment="1">
      <alignment horizontal="center" wrapText="1"/>
    </xf>
    <xf numFmtId="0" fontId="3" fillId="0" borderId="14" xfId="10" applyFont="1" applyFill="1" applyBorder="1" applyAlignment="1"/>
    <xf numFmtId="0" fontId="6" fillId="0" borderId="0" xfId="0" applyFont="1" applyAlignment="1">
      <alignment vertical="center"/>
    </xf>
    <xf numFmtId="0" fontId="11" fillId="8" borderId="56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9" fontId="6" fillId="0" borderId="13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4" fontId="4" fillId="0" borderId="62" xfId="0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174" fontId="6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74" fontId="6" fillId="0" borderId="14" xfId="0" applyNumberFormat="1" applyFont="1" applyFill="1" applyBorder="1" applyAlignment="1">
      <alignment vertical="center"/>
    </xf>
    <xf numFmtId="174" fontId="6" fillId="0" borderId="53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 wrapText="1"/>
    </xf>
    <xf numFmtId="4" fontId="6" fillId="0" borderId="4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174" fontId="6" fillId="0" borderId="47" xfId="0" applyNumberFormat="1" applyFont="1" applyFill="1" applyBorder="1" applyAlignment="1">
      <alignment vertical="center"/>
    </xf>
    <xf numFmtId="174" fontId="6" fillId="0" borderId="52" xfId="0" applyNumberFormat="1" applyFont="1" applyFill="1" applyBorder="1" applyAlignment="1">
      <alignment vertical="center"/>
    </xf>
    <xf numFmtId="174" fontId="6" fillId="0" borderId="12" xfId="0" applyNumberFormat="1" applyFont="1" applyFill="1" applyBorder="1" applyAlignment="1">
      <alignment vertical="center"/>
    </xf>
    <xf numFmtId="174" fontId="6" fillId="0" borderId="36" xfId="0" applyNumberFormat="1" applyFont="1" applyFill="1" applyBorder="1" applyAlignment="1">
      <alignment vertical="center"/>
    </xf>
    <xf numFmtId="174" fontId="6" fillId="0" borderId="39" xfId="0" applyNumberFormat="1" applyFont="1" applyFill="1" applyBorder="1" applyAlignment="1">
      <alignment vertical="center"/>
    </xf>
    <xf numFmtId="174" fontId="6" fillId="0" borderId="40" xfId="0" applyNumberFormat="1" applyFont="1" applyFill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" fontId="6" fillId="0" borderId="28" xfId="0" applyNumberFormat="1" applyFont="1" applyFill="1" applyBorder="1" applyAlignment="1">
      <alignment vertical="center"/>
    </xf>
    <xf numFmtId="174" fontId="6" fillId="0" borderId="9" xfId="0" applyNumberFormat="1" applyFont="1" applyBorder="1" applyAlignment="1">
      <alignment vertical="center"/>
    </xf>
    <xf numFmtId="174" fontId="6" fillId="0" borderId="10" xfId="0" applyNumberFormat="1" applyFont="1" applyBorder="1" applyAlignment="1">
      <alignment vertical="center"/>
    </xf>
    <xf numFmtId="174" fontId="6" fillId="0" borderId="7" xfId="0" applyNumberFormat="1" applyFont="1" applyBorder="1" applyAlignment="1">
      <alignment vertical="center"/>
    </xf>
    <xf numFmtId="174" fontId="6" fillId="0" borderId="28" xfId="0" applyNumberFormat="1" applyFont="1" applyBorder="1" applyAlignment="1">
      <alignment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" fontId="4" fillId="0" borderId="38" xfId="0" applyNumberFormat="1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9" fontId="6" fillId="0" borderId="39" xfId="0" applyNumberFormat="1" applyFont="1" applyBorder="1" applyAlignment="1">
      <alignment vertical="center"/>
    </xf>
    <xf numFmtId="9" fontId="4" fillId="0" borderId="39" xfId="0" applyNumberFormat="1" applyFont="1" applyBorder="1" applyAlignment="1">
      <alignment vertical="center"/>
    </xf>
    <xf numFmtId="9" fontId="4" fillId="0" borderId="4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4" fillId="0" borderId="6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82" fontId="9" fillId="0" borderId="0" xfId="2" applyNumberFormat="1" applyFont="1" applyAlignment="1" applyProtection="1">
      <alignment horizontal="left"/>
    </xf>
    <xf numFmtId="182" fontId="15" fillId="0" borderId="0" xfId="5" applyNumberFormat="1" applyFont="1"/>
    <xf numFmtId="182" fontId="9" fillId="6" borderId="15" xfId="5" applyNumberFormat="1" applyFont="1" applyFill="1" applyBorder="1" applyAlignment="1">
      <alignment horizontal="center" vertical="center"/>
    </xf>
    <xf numFmtId="182" fontId="15" fillId="0" borderId="0" xfId="8" applyNumberFormat="1" applyFont="1" applyFill="1" applyBorder="1"/>
    <xf numFmtId="182" fontId="15" fillId="0" borderId="0" xfId="8" applyNumberFormat="1" applyFont="1" applyAlignment="1">
      <alignment horizontal="left"/>
    </xf>
    <xf numFmtId="0" fontId="21" fillId="0" borderId="68" xfId="14" applyFont="1" applyFill="1" applyBorder="1" applyAlignment="1">
      <alignment wrapText="1"/>
    </xf>
    <xf numFmtId="0" fontId="30" fillId="14" borderId="14" xfId="9" applyFont="1" applyFill="1" applyBorder="1" applyAlignment="1">
      <alignment horizontal="left" wrapText="1"/>
    </xf>
    <xf numFmtId="182" fontId="15" fillId="0" borderId="14" xfId="8" applyNumberFormat="1" applyFont="1" applyBorder="1"/>
    <xf numFmtId="0" fontId="30" fillId="14" borderId="14" xfId="10" applyFont="1" applyFill="1" applyBorder="1" applyAlignment="1">
      <alignment horizontal="left" wrapText="1"/>
    </xf>
    <xf numFmtId="0" fontId="31" fillId="0" borderId="14" xfId="8" applyFont="1" applyBorder="1" applyAlignment="1">
      <alignment horizontal="left"/>
    </xf>
    <xf numFmtId="0" fontId="6" fillId="0" borderId="14" xfId="8" applyFont="1" applyBorder="1"/>
    <xf numFmtId="0" fontId="31" fillId="0" borderId="14" xfId="8" applyFont="1" applyBorder="1" applyAlignment="1">
      <alignment horizontal="center"/>
    </xf>
    <xf numFmtId="0" fontId="9" fillId="6" borderId="15" xfId="8" applyFont="1" applyFill="1" applyBorder="1" applyAlignment="1" applyProtection="1">
      <alignment horizontal="center" vertical="center"/>
    </xf>
    <xf numFmtId="178" fontId="6" fillId="7" borderId="14" xfId="8" applyNumberFormat="1" applyFont="1" applyFill="1" applyBorder="1" applyAlignment="1" applyProtection="1">
      <alignment horizontal="center"/>
    </xf>
    <xf numFmtId="0" fontId="20" fillId="0" borderId="14" xfId="8" applyFont="1" applyFill="1" applyBorder="1" applyAlignment="1" applyProtection="1">
      <alignment horizontal="center" vertical="center"/>
    </xf>
    <xf numFmtId="0" fontId="20" fillId="7" borderId="14" xfId="8" applyFont="1" applyFill="1" applyBorder="1" applyAlignment="1" applyProtection="1">
      <alignment horizontal="center"/>
    </xf>
    <xf numFmtId="0" fontId="6" fillId="7" borderId="14" xfId="8" applyFont="1" applyFill="1" applyBorder="1" applyAlignment="1">
      <alignment horizontal="center"/>
    </xf>
    <xf numFmtId="0" fontId="6" fillId="0" borderId="14" xfId="8" applyFont="1" applyFill="1" applyBorder="1" applyAlignment="1" applyProtection="1">
      <alignment wrapText="1"/>
    </xf>
    <xf numFmtId="4" fontId="4" fillId="0" borderId="67" xfId="0" applyNumberFormat="1" applyFont="1" applyBorder="1" applyAlignment="1">
      <alignment vertical="center"/>
    </xf>
    <xf numFmtId="4" fontId="6" fillId="0" borderId="69" xfId="0" applyNumberFormat="1" applyFont="1" applyFill="1" applyBorder="1" applyAlignment="1">
      <alignment vertical="center"/>
    </xf>
    <xf numFmtId="174" fontId="6" fillId="0" borderId="4" xfId="0" applyNumberFormat="1" applyFont="1" applyFill="1" applyBorder="1" applyAlignment="1">
      <alignment vertical="center"/>
    </xf>
    <xf numFmtId="174" fontId="6" fillId="0" borderId="5" xfId="0" applyNumberFormat="1" applyFont="1" applyFill="1" applyBorder="1" applyAlignment="1">
      <alignment vertical="center"/>
    </xf>
    <xf numFmtId="174" fontId="6" fillId="0" borderId="3" xfId="0" applyNumberFormat="1" applyFont="1" applyFill="1" applyBorder="1" applyAlignment="1">
      <alignment vertical="center"/>
    </xf>
    <xf numFmtId="174" fontId="0" fillId="0" borderId="0" xfId="0" applyNumberFormat="1"/>
    <xf numFmtId="174" fontId="6" fillId="0" borderId="69" xfId="0" applyNumberFormat="1" applyFont="1" applyFill="1" applyBorder="1" applyAlignment="1">
      <alignment vertical="center"/>
    </xf>
    <xf numFmtId="2" fontId="15" fillId="0" borderId="0" xfId="8" applyNumberFormat="1" applyFont="1" applyAlignment="1">
      <alignment horizontal="right"/>
    </xf>
    <xf numFmtId="2" fontId="34" fillId="0" borderId="0" xfId="13" applyNumberFormat="1" applyFont="1" applyFill="1" applyBorder="1" applyAlignment="1">
      <alignment horizontal="right"/>
    </xf>
    <xf numFmtId="2" fontId="34" fillId="0" borderId="0" xfId="13" applyNumberFormat="1" applyFont="1" applyFill="1" applyBorder="1" applyAlignment="1">
      <alignment horizontal="right" wrapText="1"/>
    </xf>
    <xf numFmtId="174" fontId="4" fillId="0" borderId="38" xfId="0" applyNumberFormat="1" applyFont="1" applyBorder="1" applyAlignment="1">
      <alignment vertical="center"/>
    </xf>
    <xf numFmtId="169" fontId="6" fillId="0" borderId="14" xfId="0" applyNumberFormat="1" applyFont="1" applyFill="1" applyBorder="1" applyAlignment="1">
      <alignment vertical="center"/>
    </xf>
    <xf numFmtId="4" fontId="6" fillId="0" borderId="7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70" xfId="0" applyNumberFormat="1" applyFont="1" applyFill="1" applyBorder="1" applyAlignment="1">
      <alignment vertical="center"/>
    </xf>
    <xf numFmtId="174" fontId="6" fillId="0" borderId="11" xfId="0" applyNumberFormat="1" applyFont="1" applyBorder="1" applyAlignment="1">
      <alignment vertical="center"/>
    </xf>
    <xf numFmtId="174" fontId="6" fillId="0" borderId="6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4" fontId="6" fillId="0" borderId="71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169" fontId="6" fillId="0" borderId="45" xfId="0" applyNumberFormat="1" applyFont="1" applyFill="1" applyBorder="1" applyAlignment="1">
      <alignment vertical="center"/>
    </xf>
    <xf numFmtId="174" fontId="6" fillId="0" borderId="45" xfId="0" applyNumberFormat="1" applyFont="1" applyFill="1" applyBorder="1" applyAlignment="1">
      <alignment vertical="center"/>
    </xf>
    <xf numFmtId="174" fontId="6" fillId="0" borderId="46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174" fontId="6" fillId="0" borderId="48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169" fontId="6" fillId="0" borderId="53" xfId="0" applyNumberFormat="1" applyFont="1" applyFill="1" applyBorder="1" applyAlignment="1">
      <alignment vertical="center"/>
    </xf>
    <xf numFmtId="174" fontId="6" fillId="0" borderId="54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" fontId="6" fillId="0" borderId="67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174" fontId="6" fillId="0" borderId="44" xfId="0" applyNumberFormat="1" applyFont="1" applyFill="1" applyBorder="1" applyAlignment="1">
      <alignment vertical="center"/>
    </xf>
    <xf numFmtId="174" fontId="6" fillId="0" borderId="58" xfId="0" applyNumberFormat="1" applyFont="1" applyFill="1" applyBorder="1" applyAlignment="1">
      <alignment vertical="center"/>
    </xf>
    <xf numFmtId="174" fontId="6" fillId="0" borderId="67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3" xfId="0" applyBorder="1" applyAlignment="1">
      <alignment horizontal="center"/>
    </xf>
    <xf numFmtId="172" fontId="0" fillId="0" borderId="0" xfId="0" applyNumberFormat="1"/>
    <xf numFmtId="0" fontId="0" fillId="0" borderId="4" xfId="0" applyBorder="1" applyAlignment="1">
      <alignment horizontal="center"/>
    </xf>
    <xf numFmtId="0" fontId="0" fillId="0" borderId="74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9" fontId="0" fillId="0" borderId="10" xfId="15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76" xfId="0" applyBorder="1" applyAlignment="1">
      <alignment horizontal="center"/>
    </xf>
    <xf numFmtId="172" fontId="0" fillId="0" borderId="76" xfId="0" applyNumberFormat="1" applyBorder="1" applyAlignment="1">
      <alignment horizontal="center"/>
    </xf>
    <xf numFmtId="0" fontId="0" fillId="0" borderId="76" xfId="0" applyBorder="1"/>
    <xf numFmtId="172" fontId="0" fillId="0" borderId="62" xfId="0" applyNumberFormat="1" applyBorder="1" applyAlignment="1">
      <alignment horizontal="center"/>
    </xf>
    <xf numFmtId="0" fontId="6" fillId="0" borderId="5" xfId="0" applyFont="1" applyBorder="1" applyAlignment="1">
      <alignment horizontal="left"/>
    </xf>
    <xf numFmtId="9" fontId="0" fillId="0" borderId="76" xfId="15" applyFont="1" applyBorder="1" applyAlignment="1">
      <alignment horizontal="center"/>
    </xf>
    <xf numFmtId="0" fontId="0" fillId="0" borderId="5" xfId="0" applyBorder="1"/>
    <xf numFmtId="172" fontId="4" fillId="0" borderId="62" xfId="0" applyNumberFormat="1" applyFont="1" applyBorder="1" applyAlignment="1">
      <alignment horizontal="center"/>
    </xf>
    <xf numFmtId="17" fontId="0" fillId="0" borderId="16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66" fontId="0" fillId="0" borderId="10" xfId="3" applyFont="1" applyBorder="1" applyAlignment="1"/>
    <xf numFmtId="0" fontId="2" fillId="0" borderId="14" xfId="0" applyFont="1" applyBorder="1"/>
    <xf numFmtId="0" fontId="0" fillId="0" borderId="14" xfId="0" applyBorder="1"/>
    <xf numFmtId="0" fontId="2" fillId="0" borderId="71" xfId="0" applyFont="1" applyBorder="1"/>
    <xf numFmtId="0" fontId="2" fillId="0" borderId="45" xfId="0" applyFont="1" applyBorder="1"/>
    <xf numFmtId="0" fontId="0" fillId="0" borderId="45" xfId="0" applyBorder="1"/>
    <xf numFmtId="0" fontId="0" fillId="0" borderId="46" xfId="0" applyBorder="1"/>
    <xf numFmtId="0" fontId="2" fillId="0" borderId="32" xfId="0" applyFont="1" applyBorder="1"/>
    <xf numFmtId="0" fontId="0" fillId="0" borderId="48" xfId="0" applyBorder="1"/>
    <xf numFmtId="0" fontId="0" fillId="0" borderId="53" xfId="0" applyBorder="1"/>
    <xf numFmtId="0" fontId="0" fillId="0" borderId="54" xfId="0" applyBorder="1"/>
    <xf numFmtId="0" fontId="4" fillId="0" borderId="38" xfId="0" applyFont="1" applyBorder="1"/>
    <xf numFmtId="0" fontId="0" fillId="18" borderId="71" xfId="0" applyFill="1" applyBorder="1" applyAlignment="1">
      <alignment horizontal="center"/>
    </xf>
    <xf numFmtId="0" fontId="0" fillId="18" borderId="45" xfId="0" applyFill="1" applyBorder="1" applyAlignment="1">
      <alignment horizontal="left"/>
    </xf>
    <xf numFmtId="0" fontId="0" fillId="18" borderId="45" xfId="0" applyFill="1" applyBorder="1" applyAlignment="1">
      <alignment horizontal="center"/>
    </xf>
    <xf numFmtId="4" fontId="2" fillId="18" borderId="59" xfId="6" applyNumberFormat="1" applyFont="1" applyFill="1" applyBorder="1" applyAlignment="1">
      <alignment horizontal="right" vertical="center"/>
    </xf>
    <xf numFmtId="4" fontId="0" fillId="18" borderId="45" xfId="0" applyNumberFormat="1" applyFill="1" applyBorder="1" applyAlignment="1">
      <alignment horizontal="center"/>
    </xf>
    <xf numFmtId="172" fontId="0" fillId="18" borderId="45" xfId="0" applyNumberFormat="1" applyFill="1" applyBorder="1" applyAlignment="1">
      <alignment horizontal="center"/>
    </xf>
    <xf numFmtId="4" fontId="0" fillId="18" borderId="45" xfId="0" applyNumberFormat="1" applyFill="1" applyBorder="1"/>
    <xf numFmtId="172" fontId="0" fillId="18" borderId="46" xfId="0" applyNumberFormat="1" applyFill="1" applyBorder="1" applyAlignment="1">
      <alignment horizontal="center"/>
    </xf>
    <xf numFmtId="0" fontId="0" fillId="18" borderId="32" xfId="0" applyFill="1" applyBorder="1" applyAlignment="1">
      <alignment horizontal="center"/>
    </xf>
    <xf numFmtId="0" fontId="0" fillId="18" borderId="14" xfId="0" applyFill="1" applyBorder="1" applyAlignment="1">
      <alignment horizontal="left"/>
    </xf>
    <xf numFmtId="0" fontId="0" fillId="18" borderId="14" xfId="0" applyFill="1" applyBorder="1" applyAlignment="1">
      <alignment horizontal="center"/>
    </xf>
    <xf numFmtId="4" fontId="2" fillId="18" borderId="13" xfId="6" applyNumberFormat="1" applyFont="1" applyFill="1" applyBorder="1" applyAlignment="1">
      <alignment horizontal="right" vertical="center"/>
    </xf>
    <xf numFmtId="4" fontId="0" fillId="18" borderId="14" xfId="0" applyNumberFormat="1" applyFill="1" applyBorder="1" applyAlignment="1">
      <alignment horizontal="center"/>
    </xf>
    <xf numFmtId="172" fontId="0" fillId="18" borderId="14" xfId="0" applyNumberFormat="1" applyFill="1" applyBorder="1" applyAlignment="1">
      <alignment horizontal="center"/>
    </xf>
    <xf numFmtId="4" fontId="0" fillId="18" borderId="14" xfId="0" applyNumberFormat="1" applyFill="1" applyBorder="1"/>
    <xf numFmtId="172" fontId="0" fillId="18" borderId="48" xfId="0" applyNumberFormat="1" applyFill="1" applyBorder="1" applyAlignment="1">
      <alignment horizontal="center"/>
    </xf>
    <xf numFmtId="0" fontId="2" fillId="18" borderId="14" xfId="0" applyFont="1" applyFill="1" applyBorder="1" applyAlignment="1">
      <alignment horizontal="left"/>
    </xf>
    <xf numFmtId="0" fontId="0" fillId="18" borderId="33" xfId="0" applyFill="1" applyBorder="1" applyAlignment="1">
      <alignment horizontal="center"/>
    </xf>
    <xf numFmtId="0" fontId="0" fillId="18" borderId="53" xfId="0" applyFill="1" applyBorder="1" applyAlignment="1">
      <alignment horizontal="left"/>
    </xf>
    <xf numFmtId="0" fontId="0" fillId="18" borderId="53" xfId="0" applyFill="1" applyBorder="1" applyAlignment="1">
      <alignment horizontal="center"/>
    </xf>
    <xf numFmtId="4" fontId="2" fillId="18" borderId="64" xfId="6" applyNumberFormat="1" applyFont="1" applyFill="1" applyBorder="1" applyAlignment="1">
      <alignment horizontal="right" vertical="center"/>
    </xf>
    <xf numFmtId="4" fontId="0" fillId="18" borderId="53" xfId="0" applyNumberFormat="1" applyFill="1" applyBorder="1" applyAlignment="1">
      <alignment horizontal="center"/>
    </xf>
    <xf numFmtId="172" fontId="0" fillId="18" borderId="53" xfId="0" applyNumberFormat="1" applyFill="1" applyBorder="1" applyAlignment="1">
      <alignment horizontal="center"/>
    </xf>
    <xf numFmtId="4" fontId="0" fillId="18" borderId="53" xfId="0" applyNumberFormat="1" applyFill="1" applyBorder="1"/>
    <xf numFmtId="172" fontId="0" fillId="18" borderId="54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72" fontId="0" fillId="0" borderId="45" xfId="0" applyNumberFormat="1" applyBorder="1" applyAlignment="1">
      <alignment horizontal="center"/>
    </xf>
    <xf numFmtId="0" fontId="4" fillId="0" borderId="79" xfId="0" applyFont="1" applyBorder="1" applyAlignment="1">
      <alignment horizontal="left"/>
    </xf>
    <xf numFmtId="0" fontId="0" fillId="0" borderId="8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2" xfId="0" applyFon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81" xfId="0" applyNumberForma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48" xfId="0" applyNumberFormat="1" applyFont="1" applyBorder="1" applyAlignment="1">
      <alignment horizontal="center"/>
    </xf>
    <xf numFmtId="172" fontId="0" fillId="18" borderId="45" xfId="0" applyNumberFormat="1" applyFill="1" applyBorder="1" applyAlignment="1">
      <alignment horizontal="right"/>
    </xf>
    <xf numFmtId="172" fontId="0" fillId="18" borderId="14" xfId="0" applyNumberFormat="1" applyFill="1" applyBorder="1" applyAlignment="1">
      <alignment horizontal="right"/>
    </xf>
    <xf numFmtId="172" fontId="0" fillId="18" borderId="53" xfId="0" applyNumberFormat="1" applyFill="1" applyBorder="1" applyAlignment="1">
      <alignment horizontal="right"/>
    </xf>
    <xf numFmtId="172" fontId="0" fillId="18" borderId="10" xfId="0" applyNumberFormat="1" applyFill="1" applyBorder="1" applyAlignment="1">
      <alignment horizontal="right"/>
    </xf>
    <xf numFmtId="172" fontId="4" fillId="0" borderId="83" xfId="0" applyNumberFormat="1" applyFont="1" applyBorder="1" applyAlignment="1">
      <alignment horizontal="center"/>
    </xf>
    <xf numFmtId="172" fontId="4" fillId="0" borderId="45" xfId="0" applyNumberFormat="1" applyFont="1" applyBorder="1" applyAlignment="1">
      <alignment horizontal="center"/>
    </xf>
    <xf numFmtId="172" fontId="4" fillId="0" borderId="46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9" fontId="0" fillId="0" borderId="45" xfId="15" applyFont="1" applyBorder="1" applyAlignment="1">
      <alignment horizontal="center"/>
    </xf>
    <xf numFmtId="172" fontId="0" fillId="18" borderId="6" xfId="0" applyNumberFormat="1" applyFill="1" applyBorder="1" applyAlignment="1">
      <alignment horizontal="right"/>
    </xf>
    <xf numFmtId="4" fontId="0" fillId="18" borderId="6" xfId="0" applyNumberFormat="1" applyFill="1" applyBorder="1" applyAlignment="1">
      <alignment horizontal="center"/>
    </xf>
    <xf numFmtId="172" fontId="0" fillId="18" borderId="84" xfId="0" applyNumberFormat="1" applyFill="1" applyBorder="1" applyAlignment="1">
      <alignment horizontal="right"/>
    </xf>
    <xf numFmtId="4" fontId="0" fillId="18" borderId="84" xfId="0" applyNumberFormat="1" applyFill="1" applyBorder="1" applyAlignment="1">
      <alignment horizontal="center"/>
    </xf>
    <xf numFmtId="172" fontId="0" fillId="18" borderId="85" xfId="0" applyNumberFormat="1" applyFill="1" applyBorder="1" applyAlignment="1">
      <alignment horizontal="center"/>
    </xf>
    <xf numFmtId="172" fontId="0" fillId="18" borderId="86" xfId="0" applyNumberFormat="1" applyFill="1" applyBorder="1" applyAlignment="1">
      <alignment horizontal="center"/>
    </xf>
    <xf numFmtId="172" fontId="0" fillId="18" borderId="8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15" applyFon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172" fontId="0" fillId="0" borderId="86" xfId="0" applyNumberForma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14" xfId="0" applyBorder="1" applyAlignment="1">
      <alignment horizontal="center"/>
    </xf>
    <xf numFmtId="9" fontId="0" fillId="0" borderId="14" xfId="15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/>
    <xf numFmtId="172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5" fillId="17" borderId="56" xfId="0" applyFont="1" applyFill="1" applyBorder="1" applyAlignment="1">
      <alignment horizontal="center" wrapText="1"/>
    </xf>
    <xf numFmtId="0" fontId="35" fillId="17" borderId="61" xfId="0" applyFont="1" applyFill="1" applyBorder="1" applyAlignment="1">
      <alignment horizontal="center" wrapText="1"/>
    </xf>
    <xf numFmtId="0" fontId="35" fillId="17" borderId="66" xfId="0" applyFont="1" applyFill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16" borderId="56" xfId="0" applyFont="1" applyFill="1" applyBorder="1" applyAlignment="1">
      <alignment horizontal="center"/>
    </xf>
    <xf numFmtId="0" fontId="4" fillId="16" borderId="61" xfId="0" applyFont="1" applyFill="1" applyBorder="1" applyAlignment="1">
      <alignment horizontal="center"/>
    </xf>
    <xf numFmtId="0" fontId="4" fillId="16" borderId="66" xfId="0" applyFont="1" applyFill="1" applyBorder="1" applyAlignment="1">
      <alignment horizontal="center"/>
    </xf>
    <xf numFmtId="0" fontId="6" fillId="0" borderId="67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5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/>
    <xf numFmtId="0" fontId="11" fillId="8" borderId="61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15" borderId="0" xfId="8" applyFont="1" applyFill="1" applyAlignment="1" applyProtection="1">
      <alignment horizontal="center" vertical="center" wrapText="1"/>
    </xf>
    <xf numFmtId="0" fontId="18" fillId="0" borderId="0" xfId="8" applyFont="1" applyAlignment="1" applyProtection="1">
      <alignment horizontal="center" vertical="center"/>
    </xf>
    <xf numFmtId="0" fontId="9" fillId="0" borderId="0" xfId="8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7" xfId="0" applyFont="1" applyBorder="1" applyAlignment="1">
      <alignment horizontal="center"/>
    </xf>
  </cellXfs>
  <cellStyles count="31">
    <cellStyle name="Bueno 2" xfId="29" xr:uid="{00000000-0005-0000-0000-000000000000}"/>
    <cellStyle name="Encabezado 1 2" xfId="28" xr:uid="{00000000-0005-0000-0000-000001000000}"/>
    <cellStyle name="Millares" xfId="1" builtinId="3"/>
    <cellStyle name="Millares 2" xfId="2" xr:uid="{00000000-0005-0000-0000-000004000000}"/>
    <cellStyle name="Millares 2 2" xfId="21" xr:uid="{00000000-0005-0000-0000-000005000000}"/>
    <cellStyle name="Millares 3" xfId="19" xr:uid="{00000000-0005-0000-0000-000006000000}"/>
    <cellStyle name="Moneda" xfId="3" builtinId="4"/>
    <cellStyle name="Moneda [0] 2" xfId="4" xr:uid="{00000000-0005-0000-0000-000008000000}"/>
    <cellStyle name="Moneda 2" xfId="5" xr:uid="{00000000-0005-0000-0000-000009000000}"/>
    <cellStyle name="Moneda 3" xfId="20" xr:uid="{00000000-0005-0000-0000-00000A000000}"/>
    <cellStyle name="Moneda 4" xfId="24" xr:uid="{00000000-0005-0000-0000-00000B000000}"/>
    <cellStyle name="Moneda 5" xfId="25" xr:uid="{00000000-0005-0000-0000-00000C000000}"/>
    <cellStyle name="Moneda 6" xfId="26" xr:uid="{00000000-0005-0000-0000-00000D000000}"/>
    <cellStyle name="Moneda 7" xfId="27" xr:uid="{00000000-0005-0000-0000-00000E000000}"/>
    <cellStyle name="Normal" xfId="0" builtinId="0"/>
    <cellStyle name="Normal 2" xfId="6" xr:uid="{00000000-0005-0000-0000-000010000000}"/>
    <cellStyle name="Normal 2 2" xfId="22" xr:uid="{00000000-0005-0000-0000-000011000000}"/>
    <cellStyle name="Normal 3" xfId="7" xr:uid="{00000000-0005-0000-0000-000012000000}"/>
    <cellStyle name="Normal 4" xfId="8" xr:uid="{00000000-0005-0000-0000-000013000000}"/>
    <cellStyle name="Normal 5" xfId="18" xr:uid="{00000000-0005-0000-0000-000014000000}"/>
    <cellStyle name="Normal 6" xfId="30" xr:uid="{00000000-0005-0000-0000-000015000000}"/>
    <cellStyle name="Normal_Aux" xfId="9" xr:uid="{00000000-0005-0000-0000-000016000000}"/>
    <cellStyle name="Normal_Hoja1" xfId="10" xr:uid="{00000000-0005-0000-0000-000017000000}"/>
    <cellStyle name="Normal_IN-01-10" xfId="11" xr:uid="{00000000-0005-0000-0000-000018000000}"/>
    <cellStyle name="Normal_IN-05-04" xfId="12" xr:uid="{00000000-0005-0000-0000-000019000000}"/>
    <cellStyle name="Normal_IN-09-06" xfId="13" xr:uid="{00000000-0005-0000-0000-00001A000000}"/>
    <cellStyle name="Normal_IN-11-08" xfId="14" xr:uid="{00000000-0005-0000-0000-00001B000000}"/>
    <cellStyle name="Porcentaje" xfId="15" builtinId="5"/>
    <cellStyle name="Porcentaje 2" xfId="23" xr:uid="{00000000-0005-0000-0000-00001C000000}"/>
    <cellStyle name="Porcentual 2" xfId="16" xr:uid="{00000000-0005-0000-0000-00001E000000}"/>
    <cellStyle name="Porcentual 2 2" xfId="17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1</xdr:row>
      <xdr:rowOff>57150</xdr:rowOff>
    </xdr:from>
    <xdr:to>
      <xdr:col>13</xdr:col>
      <xdr:colOff>600011</xdr:colOff>
      <xdr:row>8</xdr:row>
      <xdr:rowOff>103602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21A8F7BC-41A7-419B-83CD-3FD1F67F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219075"/>
          <a:ext cx="6134036" cy="1179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66675</xdr:rowOff>
    </xdr:from>
    <xdr:to>
      <xdr:col>5</xdr:col>
      <xdr:colOff>971550</xdr:colOff>
      <xdr:row>5</xdr:row>
      <xdr:rowOff>109025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5E8A120-BA33-4FDF-8B9E-59F6712B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66675"/>
          <a:ext cx="4429125" cy="85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1409700</xdr:colOff>
      <xdr:row>0</xdr:row>
      <xdr:rowOff>0</xdr:rowOff>
    </xdr:from>
    <xdr:to>
      <xdr:col>5</xdr:col>
      <xdr:colOff>419100</xdr:colOff>
      <xdr:row>6</xdr:row>
      <xdr:rowOff>114300</xdr:rowOff>
    </xdr:to>
    <xdr:pic>
      <xdr:nvPicPr>
        <xdr:cNvPr id="5" name="officeArt object">
          <a:extLst>
            <a:ext uri="{FF2B5EF4-FFF2-40B4-BE49-F238E27FC236}">
              <a16:creationId xmlns:a16="http://schemas.microsoft.com/office/drawing/2014/main" id="{537CBDC9-D164-733F-7C65-14A9631AB52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4283" r="681" b="7626"/>
        <a:stretch/>
      </xdr:blipFill>
      <xdr:spPr bwMode="auto">
        <a:xfrm>
          <a:off x="2667000" y="0"/>
          <a:ext cx="2143125" cy="108585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2733675</xdr:colOff>
      <xdr:row>24</xdr:row>
      <xdr:rowOff>142875</xdr:rowOff>
    </xdr:to>
    <xdr:pic>
      <xdr:nvPicPr>
        <xdr:cNvPr id="36254" name="1 Imagen" descr="\\Secop\D\LogoSOP_Blanco_y_Negro.JPG">
          <a:extLst>
            <a:ext uri="{FF2B5EF4-FFF2-40B4-BE49-F238E27FC236}">
              <a16:creationId xmlns:a16="http://schemas.microsoft.com/office/drawing/2014/main" id="{7B52C8A9-F1E9-41FA-A2F8-6D699CBE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3495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2733675</xdr:colOff>
      <xdr:row>24</xdr:row>
      <xdr:rowOff>142875</xdr:rowOff>
    </xdr:to>
    <xdr:pic>
      <xdr:nvPicPr>
        <xdr:cNvPr id="31308" name="1 Imagen" descr="\\Secop\D\LogoSOP_Blanco_y_Negro.JPG">
          <a:extLst>
            <a:ext uri="{FF2B5EF4-FFF2-40B4-BE49-F238E27FC236}">
              <a16:creationId xmlns:a16="http://schemas.microsoft.com/office/drawing/2014/main" id="{F073CEE2-E933-472C-A29B-DEE4DF26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3495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2733675</xdr:colOff>
      <xdr:row>24</xdr:row>
      <xdr:rowOff>142875</xdr:rowOff>
    </xdr:to>
    <xdr:pic>
      <xdr:nvPicPr>
        <xdr:cNvPr id="33342" name="1 Imagen" descr="\\Secop\D\LogoSOP_Blanco_y_Negro.JPG">
          <a:extLst>
            <a:ext uri="{FF2B5EF4-FFF2-40B4-BE49-F238E27FC236}">
              <a16:creationId xmlns:a16="http://schemas.microsoft.com/office/drawing/2014/main" id="{E76D58B2-6D71-48BE-B65F-1E917D73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3495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imino/Escritorio/2012-03-26-Precio-de-Materiales-FEB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op\D\Precios\A&#209;O%202010\ParaBorrar\An_10_0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-12-1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Equipos"/>
      <sheetName val="Dolar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99">
          <cell r="F99">
            <v>1125.1875829999999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6">
          <cell r="Q16">
            <v>195.08788007999999</v>
          </cell>
        </row>
      </sheetData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9:Q34"/>
  <sheetViews>
    <sheetView topLeftCell="B4" workbookViewId="0">
      <selection activeCell="B27" sqref="B27"/>
    </sheetView>
  </sheetViews>
  <sheetFormatPr baseColWidth="10" defaultColWidth="9.140625" defaultRowHeight="12.75" x14ac:dyDescent="0.2"/>
  <cols>
    <col min="1" max="1" width="11.42578125" customWidth="1"/>
    <col min="2" max="2" width="8.7109375" customWidth="1"/>
    <col min="3" max="3" width="6.5703125" bestFit="1" customWidth="1"/>
    <col min="4" max="4" width="39.140625" bestFit="1" customWidth="1"/>
    <col min="5" max="5" width="7.85546875" bestFit="1" customWidth="1"/>
    <col min="6" max="6" width="10.140625" bestFit="1" customWidth="1"/>
    <col min="7" max="7" width="11.42578125" customWidth="1"/>
    <col min="8" max="8" width="15.7109375" customWidth="1"/>
    <col min="9" max="9" width="11.42578125" customWidth="1"/>
    <col min="10" max="12" width="14.28515625" customWidth="1"/>
    <col min="13" max="13" width="15.5703125" customWidth="1"/>
    <col min="14" max="14" width="20.140625" customWidth="1"/>
    <col min="15" max="15" width="11.7109375" bestFit="1" customWidth="1"/>
    <col min="16" max="257" width="11.42578125" customWidth="1"/>
  </cols>
  <sheetData>
    <row r="9" spans="3:15" ht="13.5" thickBot="1" x14ac:dyDescent="0.25"/>
    <row r="10" spans="3:15" ht="16.5" customHeight="1" thickBot="1" x14ac:dyDescent="0.3">
      <c r="D10" s="510" t="s">
        <v>1991</v>
      </c>
      <c r="E10" s="511"/>
      <c r="F10" s="511"/>
      <c r="G10" s="511"/>
      <c r="H10" s="511"/>
      <c r="I10" s="511"/>
      <c r="J10" s="511"/>
      <c r="K10" s="511"/>
      <c r="L10" s="511"/>
      <c r="M10" s="511"/>
      <c r="N10" s="512"/>
    </row>
    <row r="11" spans="3:15" ht="13.5" thickBot="1" x14ac:dyDescent="0.25"/>
    <row r="12" spans="3:15" ht="13.5" thickBot="1" x14ac:dyDescent="0.25">
      <c r="C12" s="517" t="s">
        <v>1988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9"/>
    </row>
    <row r="13" spans="3:15" ht="13.5" thickBot="1" x14ac:dyDescent="0.25">
      <c r="N13" s="425"/>
    </row>
    <row r="14" spans="3:15" x14ac:dyDescent="0.2">
      <c r="C14" s="528" t="s">
        <v>1974</v>
      </c>
      <c r="D14" s="513" t="s">
        <v>249</v>
      </c>
      <c r="E14" s="513" t="s">
        <v>1975</v>
      </c>
      <c r="F14" s="515" t="s">
        <v>1929</v>
      </c>
      <c r="G14" s="524" t="s">
        <v>1976</v>
      </c>
      <c r="H14" s="525"/>
      <c r="I14" s="524" t="s">
        <v>1979</v>
      </c>
      <c r="J14" s="525"/>
      <c r="K14" s="526" t="s">
        <v>1978</v>
      </c>
      <c r="L14" s="527"/>
      <c r="M14" s="520" t="s">
        <v>1986</v>
      </c>
      <c r="N14" s="522" t="s">
        <v>2</v>
      </c>
    </row>
    <row r="15" spans="3:15" ht="13.5" thickBot="1" x14ac:dyDescent="0.25">
      <c r="C15" s="529"/>
      <c r="D15" s="514"/>
      <c r="E15" s="514"/>
      <c r="F15" s="516"/>
      <c r="G15" s="411" t="s">
        <v>1977</v>
      </c>
      <c r="H15" s="408" t="s">
        <v>2</v>
      </c>
      <c r="I15" s="411" t="s">
        <v>1977</v>
      </c>
      <c r="J15" s="408" t="s">
        <v>2</v>
      </c>
      <c r="K15" s="410" t="s">
        <v>1977</v>
      </c>
      <c r="L15" s="407" t="s">
        <v>2</v>
      </c>
      <c r="M15" s="521"/>
      <c r="N15" s="523"/>
    </row>
    <row r="16" spans="3:15" x14ac:dyDescent="0.2">
      <c r="C16" s="441">
        <v>1</v>
      </c>
      <c r="D16" s="442" t="s">
        <v>1983</v>
      </c>
      <c r="E16" s="443" t="s">
        <v>9</v>
      </c>
      <c r="F16" s="444">
        <v>1</v>
      </c>
      <c r="G16" s="445">
        <v>20.6</v>
      </c>
      <c r="H16" s="446">
        <f>G16*F16</f>
        <v>20.6</v>
      </c>
      <c r="I16" s="445">
        <v>195.12</v>
      </c>
      <c r="J16" s="446">
        <f t="shared" ref="J16:J21" si="0">I16*F16</f>
        <v>195.12</v>
      </c>
      <c r="K16" s="445">
        <v>476.46</v>
      </c>
      <c r="L16" s="446">
        <f t="shared" ref="L16:L21" si="1">K16*F16</f>
        <v>476.46</v>
      </c>
      <c r="M16" s="447">
        <f>K16+I16+G16</f>
        <v>692.18</v>
      </c>
      <c r="N16" s="448">
        <f>M16*F16</f>
        <v>692.18</v>
      </c>
      <c r="O16" s="1"/>
    </row>
    <row r="17" spans="3:17" x14ac:dyDescent="0.2">
      <c r="C17" s="449">
        <v>2</v>
      </c>
      <c r="D17" s="450" t="s">
        <v>1980</v>
      </c>
      <c r="E17" s="451" t="s">
        <v>14</v>
      </c>
      <c r="F17" s="452">
        <f>F20</f>
        <v>1920</v>
      </c>
      <c r="G17" s="453" t="e">
        <f>#REF!</f>
        <v>#REF!</v>
      </c>
      <c r="H17" s="454" t="e">
        <f t="shared" ref="H17:H18" si="2">G17*F17</f>
        <v>#REF!</v>
      </c>
      <c r="I17" s="453">
        <v>20.7</v>
      </c>
      <c r="J17" s="454">
        <f t="shared" si="0"/>
        <v>39744</v>
      </c>
      <c r="K17" s="453">
        <v>2.78</v>
      </c>
      <c r="L17" s="454">
        <f t="shared" si="1"/>
        <v>5337.5999999999995</v>
      </c>
      <c r="M17" s="455" t="e">
        <f t="shared" ref="M17:M21" si="3">K17+I17+G17</f>
        <v>#REF!</v>
      </c>
      <c r="N17" s="456" t="e">
        <f t="shared" ref="N17:N21" si="4">M17*F17</f>
        <v>#REF!</v>
      </c>
      <c r="O17" s="1"/>
      <c r="Q17" s="12"/>
    </row>
    <row r="18" spans="3:17" x14ac:dyDescent="0.2">
      <c r="C18" s="449">
        <v>3</v>
      </c>
      <c r="D18" s="450" t="s">
        <v>1981</v>
      </c>
      <c r="E18" s="451" t="s">
        <v>9</v>
      </c>
      <c r="F18" s="452">
        <f>F20*0.15</f>
        <v>288</v>
      </c>
      <c r="G18" s="453" t="e">
        <f>#REF!</f>
        <v>#REF!</v>
      </c>
      <c r="H18" s="454" t="e">
        <f t="shared" si="2"/>
        <v>#REF!</v>
      </c>
      <c r="I18" s="453" t="e">
        <f>#REF!</f>
        <v>#REF!</v>
      </c>
      <c r="J18" s="454" t="e">
        <f t="shared" si="0"/>
        <v>#REF!</v>
      </c>
      <c r="K18" s="453" t="e">
        <f>#REF!</f>
        <v>#REF!</v>
      </c>
      <c r="L18" s="454" t="e">
        <f t="shared" si="1"/>
        <v>#REF!</v>
      </c>
      <c r="M18" s="455" t="e">
        <f t="shared" si="3"/>
        <v>#REF!</v>
      </c>
      <c r="N18" s="456" t="e">
        <f t="shared" si="4"/>
        <v>#REF!</v>
      </c>
      <c r="O18" s="1"/>
    </row>
    <row r="19" spans="3:17" x14ac:dyDescent="0.2">
      <c r="C19" s="449">
        <v>4</v>
      </c>
      <c r="D19" s="450" t="s">
        <v>1982</v>
      </c>
      <c r="E19" s="451" t="s">
        <v>281</v>
      </c>
      <c r="F19" s="452">
        <f>('COMPUTO METRICO'!F17)*2</f>
        <v>1240</v>
      </c>
      <c r="G19" s="453" t="e">
        <f>#REF!</f>
        <v>#REF!</v>
      </c>
      <c r="H19" s="454" t="e">
        <f>G19*F19</f>
        <v>#REF!</v>
      </c>
      <c r="I19" s="453" t="e">
        <f>#REF!</f>
        <v>#REF!</v>
      </c>
      <c r="J19" s="454" t="e">
        <f>I19*F19</f>
        <v>#REF!</v>
      </c>
      <c r="K19" s="453" t="e">
        <f>#REF!</f>
        <v>#REF!</v>
      </c>
      <c r="L19" s="454" t="e">
        <f t="shared" si="1"/>
        <v>#REF!</v>
      </c>
      <c r="M19" s="455" t="e">
        <f t="shared" si="3"/>
        <v>#REF!</v>
      </c>
      <c r="N19" s="456" t="e">
        <f t="shared" si="4"/>
        <v>#REF!</v>
      </c>
      <c r="O19" s="1"/>
    </row>
    <row r="20" spans="3:17" x14ac:dyDescent="0.2">
      <c r="C20" s="449">
        <v>5</v>
      </c>
      <c r="D20" s="457" t="s">
        <v>1990</v>
      </c>
      <c r="E20" s="451" t="s">
        <v>14</v>
      </c>
      <c r="F20" s="452">
        <f>'COMPUTO METRICO'!F14</f>
        <v>1920</v>
      </c>
      <c r="G20" s="453" t="e">
        <f>#REF!</f>
        <v>#REF!</v>
      </c>
      <c r="H20" s="454" t="e">
        <f>G20*F20</f>
        <v>#REF!</v>
      </c>
      <c r="I20" s="453" t="e">
        <f>#REF!</f>
        <v>#REF!</v>
      </c>
      <c r="J20" s="454" t="e">
        <f t="shared" si="0"/>
        <v>#REF!</v>
      </c>
      <c r="K20" s="453" t="e">
        <f>#REF!</f>
        <v>#REF!</v>
      </c>
      <c r="L20" s="454" t="e">
        <f t="shared" si="1"/>
        <v>#REF!</v>
      </c>
      <c r="M20" s="455" t="e">
        <f t="shared" si="3"/>
        <v>#REF!</v>
      </c>
      <c r="N20" s="456" t="e">
        <f t="shared" si="4"/>
        <v>#REF!</v>
      </c>
      <c r="O20" s="1"/>
    </row>
    <row r="21" spans="3:17" ht="13.5" thickBot="1" x14ac:dyDescent="0.25">
      <c r="C21" s="458">
        <v>6</v>
      </c>
      <c r="D21" s="459" t="s">
        <v>1989</v>
      </c>
      <c r="E21" s="460" t="s">
        <v>14</v>
      </c>
      <c r="F21" s="461">
        <v>0.75</v>
      </c>
      <c r="G21" s="462"/>
      <c r="H21" s="463"/>
      <c r="I21" s="462" t="e">
        <f>#REF!</f>
        <v>#REF!</v>
      </c>
      <c r="J21" s="463" t="e">
        <f t="shared" si="0"/>
        <v>#REF!</v>
      </c>
      <c r="K21" s="460" t="e">
        <f>#REF!</f>
        <v>#REF!</v>
      </c>
      <c r="L21" s="463" t="e">
        <f t="shared" si="1"/>
        <v>#REF!</v>
      </c>
      <c r="M21" s="464" t="e">
        <f t="shared" si="3"/>
        <v>#REF!</v>
      </c>
      <c r="N21" s="465" t="e">
        <f t="shared" si="4"/>
        <v>#REF!</v>
      </c>
      <c r="O21" s="1"/>
    </row>
    <row r="22" spans="3:17" x14ac:dyDescent="0.2">
      <c r="C22" s="426"/>
      <c r="D22" s="427"/>
      <c r="E22" s="426"/>
      <c r="F22" s="426"/>
      <c r="G22" s="405"/>
      <c r="H22" s="466" t="e">
        <f>SUM(H16:H21)</f>
        <v>#REF!</v>
      </c>
      <c r="I22" s="405"/>
      <c r="J22" s="466" t="e">
        <f>J16+J17+J18+J19+J20+J21</f>
        <v>#REF!</v>
      </c>
      <c r="K22" s="426"/>
      <c r="L22" s="466" t="e">
        <f>SUM(L16:L21)</f>
        <v>#REF!</v>
      </c>
      <c r="M22" s="3"/>
      <c r="N22" s="428" t="e">
        <f>SUM(N16:N21)</f>
        <v>#REF!</v>
      </c>
      <c r="O22" s="1"/>
    </row>
    <row r="23" spans="3:17" ht="13.5" thickBot="1" x14ac:dyDescent="0.25">
      <c r="C23" s="12"/>
      <c r="D23" s="12"/>
      <c r="E23" s="12"/>
      <c r="F23" s="12"/>
      <c r="G23" s="12"/>
      <c r="H23" s="12"/>
      <c r="I23" s="2"/>
      <c r="J23" s="12"/>
      <c r="K23" s="12"/>
      <c r="L23" s="12"/>
    </row>
    <row r="24" spans="3:17" ht="13.5" thickBot="1" x14ac:dyDescent="0.25">
      <c r="C24" s="12"/>
      <c r="D24" s="416" t="s">
        <v>1984</v>
      </c>
      <c r="E24" s="417"/>
      <c r="F24" s="417"/>
      <c r="G24" s="417"/>
      <c r="H24" s="418"/>
      <c r="I24" s="417"/>
      <c r="J24" s="418"/>
      <c r="K24" s="418"/>
      <c r="L24" s="418"/>
      <c r="M24" s="419"/>
      <c r="N24" s="420" t="e">
        <f>H22+J22+L22</f>
        <v>#REF!</v>
      </c>
      <c r="O24" s="409"/>
    </row>
    <row r="25" spans="3:17" ht="13.5" thickBot="1" x14ac:dyDescent="0.25">
      <c r="C25" s="12"/>
      <c r="D25" s="416" t="s">
        <v>1985</v>
      </c>
      <c r="E25" s="417"/>
      <c r="F25" s="422"/>
      <c r="G25" s="417"/>
      <c r="H25" s="418"/>
      <c r="I25" s="417"/>
      <c r="J25" s="418"/>
      <c r="K25" s="418"/>
      <c r="L25" s="418"/>
      <c r="M25" s="419"/>
      <c r="N25" s="420" t="e">
        <f>N24</f>
        <v>#REF!</v>
      </c>
      <c r="O25" s="409"/>
    </row>
    <row r="26" spans="3:17" x14ac:dyDescent="0.2">
      <c r="C26" s="12"/>
      <c r="D26" s="412" t="s">
        <v>1987</v>
      </c>
      <c r="E26" s="413"/>
      <c r="F26" s="414">
        <v>0.21</v>
      </c>
      <c r="G26" s="413"/>
      <c r="H26" s="415"/>
      <c r="I26" s="415"/>
      <c r="J26" s="415"/>
      <c r="K26" s="415"/>
      <c r="L26" s="415"/>
      <c r="M26" s="4"/>
      <c r="N26" s="429" t="e">
        <f>(H22+L22)*0.21</f>
        <v>#REF!</v>
      </c>
      <c r="O26" s="409"/>
    </row>
    <row r="27" spans="3:17" ht="13.5" thickBot="1" x14ac:dyDescent="0.25">
      <c r="C27" s="12"/>
      <c r="D27" s="421"/>
      <c r="E27" s="406"/>
      <c r="F27" s="406"/>
      <c r="G27" s="406"/>
      <c r="H27" s="406"/>
      <c r="I27" s="406"/>
      <c r="J27" s="406"/>
      <c r="K27" s="406"/>
      <c r="L27" s="406"/>
      <c r="M27" s="423"/>
      <c r="N27" s="423"/>
      <c r="O27" s="80"/>
    </row>
    <row r="28" spans="3:17" ht="13.5" thickBot="1" x14ac:dyDescent="0.25">
      <c r="C28" s="12"/>
      <c r="D28" s="416" t="s">
        <v>2</v>
      </c>
      <c r="E28" s="417"/>
      <c r="F28" s="417"/>
      <c r="G28" s="417"/>
      <c r="H28" s="417"/>
      <c r="I28" s="417"/>
      <c r="J28" s="417"/>
      <c r="K28" s="417"/>
      <c r="L28" s="417"/>
      <c r="M28" s="419"/>
      <c r="N28" s="424" t="e">
        <f>+N26+N25</f>
        <v>#REF!</v>
      </c>
    </row>
    <row r="29" spans="3:17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3:17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409"/>
    </row>
    <row r="31" spans="3:17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7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3:12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3:12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mergeCells count="11">
    <mergeCell ref="D10:N10"/>
    <mergeCell ref="E14:E15"/>
    <mergeCell ref="F14:F15"/>
    <mergeCell ref="C12:N12"/>
    <mergeCell ref="M14:M15"/>
    <mergeCell ref="N14:N15"/>
    <mergeCell ref="G14:H14"/>
    <mergeCell ref="K14:L14"/>
    <mergeCell ref="I14:J14"/>
    <mergeCell ref="C14:C15"/>
    <mergeCell ref="D14:D1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K26" sqref="K26"/>
    </sheetView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3:D38"/>
  <sheetViews>
    <sheetView topLeftCell="A21" workbookViewId="0">
      <selection activeCell="F19" sqref="F19"/>
    </sheetView>
  </sheetViews>
  <sheetFormatPr baseColWidth="10" defaultColWidth="9.140625" defaultRowHeight="12.75" x14ac:dyDescent="0.2"/>
  <cols>
    <col min="1" max="1" width="3" bestFit="1" customWidth="1"/>
    <col min="2" max="2" width="80.140625" bestFit="1" customWidth="1"/>
    <col min="3" max="3" width="14.5703125" bestFit="1" customWidth="1"/>
    <col min="4" max="4" width="13.7109375" bestFit="1" customWidth="1"/>
    <col min="5" max="256" width="11.42578125" customWidth="1"/>
  </cols>
  <sheetData>
    <row r="3" spans="1:4" ht="13.5" thickBot="1" x14ac:dyDescent="0.25"/>
    <row r="4" spans="1:4" ht="13.5" thickBot="1" x14ac:dyDescent="0.25">
      <c r="A4" s="110" t="s">
        <v>188</v>
      </c>
      <c r="B4" s="111" t="s">
        <v>183</v>
      </c>
      <c r="C4" s="114" t="s">
        <v>187</v>
      </c>
      <c r="D4" s="114" t="s">
        <v>234</v>
      </c>
    </row>
    <row r="5" spans="1:4" x14ac:dyDescent="0.2">
      <c r="A5" s="107">
        <v>1</v>
      </c>
      <c r="B5" s="6" t="s">
        <v>219</v>
      </c>
      <c r="C5" s="104">
        <v>41.27177255982</v>
      </c>
      <c r="D5" s="105">
        <v>28.424085784999995</v>
      </c>
    </row>
    <row r="6" spans="1:4" x14ac:dyDescent="0.2">
      <c r="A6" s="108">
        <v>2</v>
      </c>
      <c r="B6" s="8" t="s">
        <v>220</v>
      </c>
      <c r="C6" s="115">
        <v>23.350390152209997</v>
      </c>
      <c r="D6" s="106">
        <v>16.081535917499995</v>
      </c>
    </row>
    <row r="7" spans="1:4" x14ac:dyDescent="0.2">
      <c r="A7" s="108">
        <v>3</v>
      </c>
      <c r="B7" s="8" t="s">
        <v>235</v>
      </c>
      <c r="C7" s="115">
        <v>4.916483365338947</v>
      </c>
      <c r="D7" s="106">
        <v>3.3860078273684202</v>
      </c>
    </row>
    <row r="8" spans="1:4" x14ac:dyDescent="0.2">
      <c r="A8" s="108">
        <v>4</v>
      </c>
      <c r="B8" s="8" t="s">
        <v>236</v>
      </c>
      <c r="C8" s="115">
        <v>8.3754371845389475</v>
      </c>
      <c r="D8" s="106">
        <v>5.7682074273684201</v>
      </c>
    </row>
    <row r="9" spans="1:4" x14ac:dyDescent="0.2">
      <c r="A9" s="108">
        <v>5</v>
      </c>
      <c r="B9" s="8" t="s">
        <v>221</v>
      </c>
      <c r="C9" s="115">
        <v>67.003875189504001</v>
      </c>
      <c r="D9" s="106">
        <v>46.145919551999995</v>
      </c>
    </row>
    <row r="10" spans="1:4" x14ac:dyDescent="0.2">
      <c r="A10" s="108">
        <v>6</v>
      </c>
      <c r="B10" s="8" t="s">
        <v>222</v>
      </c>
      <c r="C10" s="115">
        <v>109.51724551944</v>
      </c>
      <c r="D10" s="106">
        <v>75.42510021999999</v>
      </c>
    </row>
    <row r="11" spans="1:4" x14ac:dyDescent="0.2">
      <c r="A11" s="108">
        <v>7</v>
      </c>
      <c r="B11" s="8" t="s">
        <v>232</v>
      </c>
      <c r="C11" s="115">
        <v>77.134343669503991</v>
      </c>
      <c r="D11" s="106">
        <v>53.122826218666653</v>
      </c>
    </row>
    <row r="12" spans="1:4" x14ac:dyDescent="0.2">
      <c r="A12" s="108">
        <v>8</v>
      </c>
      <c r="B12" s="8" t="s">
        <v>233</v>
      </c>
      <c r="C12" s="115">
        <v>89.594042005424001</v>
      </c>
      <c r="D12" s="106">
        <v>61.703885678666659</v>
      </c>
    </row>
    <row r="13" spans="1:4" x14ac:dyDescent="0.2">
      <c r="A13" s="108">
        <v>9</v>
      </c>
      <c r="B13" s="8" t="s">
        <v>189</v>
      </c>
      <c r="C13" s="115">
        <v>40.163458983647999</v>
      </c>
      <c r="D13" s="106">
        <v>27.660784423999996</v>
      </c>
    </row>
    <row r="14" spans="1:4" x14ac:dyDescent="0.2">
      <c r="A14" s="108">
        <v>10</v>
      </c>
      <c r="B14" s="8" t="s">
        <v>190</v>
      </c>
      <c r="C14" s="115">
        <v>22.926822659136004</v>
      </c>
      <c r="D14" s="106">
        <v>15.789822768000001</v>
      </c>
    </row>
    <row r="15" spans="1:4" x14ac:dyDescent="0.2">
      <c r="A15" s="108">
        <v>11</v>
      </c>
      <c r="B15" s="8" t="s">
        <v>191</v>
      </c>
      <c r="C15" s="115">
        <v>597.82388833200002</v>
      </c>
      <c r="D15" s="106">
        <v>411.72444099999996</v>
      </c>
    </row>
    <row r="16" spans="1:4" x14ac:dyDescent="0.2">
      <c r="A16" s="108">
        <v>12</v>
      </c>
      <c r="B16" s="8" t="s">
        <v>193</v>
      </c>
      <c r="C16" s="115">
        <v>36.760501999650003</v>
      </c>
      <c r="D16" s="106">
        <v>25.317150137500001</v>
      </c>
    </row>
    <row r="17" spans="1:4" x14ac:dyDescent="0.2">
      <c r="A17" s="108">
        <v>13</v>
      </c>
      <c r="B17" s="8" t="s">
        <v>231</v>
      </c>
      <c r="C17" s="115">
        <v>14.476363622379997</v>
      </c>
      <c r="D17" s="106">
        <v>9.9699473983333302</v>
      </c>
    </row>
    <row r="18" spans="1:4" x14ac:dyDescent="0.2">
      <c r="A18" s="108">
        <v>14</v>
      </c>
      <c r="B18" s="8" t="s">
        <v>239</v>
      </c>
      <c r="C18" s="115">
        <v>181.46031129600001</v>
      </c>
      <c r="D18" s="106">
        <v>124.97266618181817</v>
      </c>
    </row>
    <row r="19" spans="1:4" x14ac:dyDescent="0.2">
      <c r="A19" s="108">
        <v>15</v>
      </c>
      <c r="B19" s="8" t="s">
        <v>194</v>
      </c>
      <c r="C19" s="115">
        <v>196.39050238720003</v>
      </c>
      <c r="D19" s="106">
        <v>135.25516693333333</v>
      </c>
    </row>
    <row r="20" spans="1:4" x14ac:dyDescent="0.2">
      <c r="A20" s="108">
        <v>16</v>
      </c>
      <c r="B20" s="8" t="s">
        <v>240</v>
      </c>
      <c r="C20" s="115">
        <v>156.76753495040003</v>
      </c>
      <c r="D20" s="106">
        <v>107.96662186666667</v>
      </c>
    </row>
    <row r="21" spans="1:4" x14ac:dyDescent="0.2">
      <c r="A21" s="108">
        <v>17</v>
      </c>
      <c r="B21" s="8" t="s">
        <v>241</v>
      </c>
      <c r="C21" s="115">
        <v>283.79184166892304</v>
      </c>
      <c r="D21" s="106">
        <v>195.44892676923072</v>
      </c>
    </row>
    <row r="22" spans="1:4" x14ac:dyDescent="0.2">
      <c r="A22" s="108">
        <v>18</v>
      </c>
      <c r="B22" s="8" t="s">
        <v>186</v>
      </c>
      <c r="C22" s="115">
        <v>32.982450660544004</v>
      </c>
      <c r="D22" s="106">
        <v>22.715186405333334</v>
      </c>
    </row>
    <row r="23" spans="1:4" x14ac:dyDescent="0.2">
      <c r="A23" s="108">
        <v>19</v>
      </c>
      <c r="B23" s="8" t="s">
        <v>192</v>
      </c>
      <c r="C23" s="115">
        <v>249.51239923744436</v>
      </c>
      <c r="D23" s="106">
        <v>171.8404953425925</v>
      </c>
    </row>
    <row r="24" spans="1:4" x14ac:dyDescent="0.2">
      <c r="A24" s="108">
        <v>20</v>
      </c>
      <c r="B24" s="8" t="s">
        <v>195</v>
      </c>
      <c r="C24" s="115">
        <v>207.30683759452026</v>
      </c>
      <c r="D24" s="106">
        <v>142.77330412845745</v>
      </c>
    </row>
    <row r="25" spans="1:4" x14ac:dyDescent="0.2">
      <c r="A25" s="108">
        <v>21</v>
      </c>
      <c r="B25" s="8" t="s">
        <v>196</v>
      </c>
      <c r="C25" s="115">
        <v>262.11154848924645</v>
      </c>
      <c r="D25" s="106">
        <v>180.51759537826888</v>
      </c>
    </row>
    <row r="26" spans="1:4" x14ac:dyDescent="0.2">
      <c r="A26" s="108">
        <v>22</v>
      </c>
      <c r="B26" s="8" t="s">
        <v>197</v>
      </c>
      <c r="C26" s="115">
        <v>203.73843939756455</v>
      </c>
      <c r="D26" s="106">
        <v>140.31572961264774</v>
      </c>
    </row>
    <row r="27" spans="1:4" x14ac:dyDescent="0.2">
      <c r="A27" s="108">
        <v>23</v>
      </c>
      <c r="B27" s="8" t="s">
        <v>198</v>
      </c>
      <c r="C27" s="115">
        <v>184.46346030047519</v>
      </c>
      <c r="D27" s="106">
        <v>127.04095062016196</v>
      </c>
    </row>
    <row r="28" spans="1:4" x14ac:dyDescent="0.2">
      <c r="A28" s="108">
        <v>24</v>
      </c>
      <c r="B28" s="8" t="s">
        <v>199</v>
      </c>
      <c r="C28" s="115">
        <v>11771.654399999999</v>
      </c>
      <c r="D28" s="106">
        <v>8107.1999999999989</v>
      </c>
    </row>
    <row r="29" spans="1:4" x14ac:dyDescent="0.2">
      <c r="A29" s="108">
        <v>25</v>
      </c>
      <c r="B29" s="8" t="s">
        <v>185</v>
      </c>
      <c r="C29" s="115">
        <v>1.14768984</v>
      </c>
      <c r="D29" s="106">
        <v>0.7904199999999999</v>
      </c>
    </row>
    <row r="30" spans="1:4" x14ac:dyDescent="0.2">
      <c r="A30" s="108">
        <v>26</v>
      </c>
      <c r="B30" s="8" t="s">
        <v>223</v>
      </c>
      <c r="C30" s="115">
        <v>8390.1548867558395</v>
      </c>
      <c r="D30" s="106">
        <v>5778.343585919999</v>
      </c>
    </row>
    <row r="31" spans="1:4" x14ac:dyDescent="0.2">
      <c r="A31" s="108">
        <v>27</v>
      </c>
      <c r="B31" s="8" t="s">
        <v>200</v>
      </c>
      <c r="C31" s="115">
        <v>528.01375967999991</v>
      </c>
      <c r="D31" s="106">
        <v>363.64583999999991</v>
      </c>
    </row>
    <row r="32" spans="1:4" x14ac:dyDescent="0.2">
      <c r="A32" s="108">
        <v>28</v>
      </c>
      <c r="B32" s="8" t="s">
        <v>201</v>
      </c>
      <c r="C32" s="115">
        <v>614.68654367999989</v>
      </c>
      <c r="D32" s="106">
        <v>423.33783999999986</v>
      </c>
    </row>
    <row r="33" spans="1:4" x14ac:dyDescent="0.2">
      <c r="A33" s="108">
        <v>29</v>
      </c>
      <c r="B33" s="8" t="s">
        <v>227</v>
      </c>
      <c r="C33" s="115">
        <v>98.201956335999995</v>
      </c>
      <c r="D33" s="106">
        <v>67.632201333333327</v>
      </c>
    </row>
    <row r="34" spans="1:4" x14ac:dyDescent="0.2">
      <c r="A34" s="108">
        <v>30</v>
      </c>
      <c r="B34" s="8" t="s">
        <v>225</v>
      </c>
      <c r="C34" s="115">
        <v>19.640391267200002</v>
      </c>
      <c r="D34" s="106">
        <v>13.526440266666667</v>
      </c>
    </row>
    <row r="35" spans="1:4" x14ac:dyDescent="0.2">
      <c r="A35" s="108">
        <v>31</v>
      </c>
      <c r="B35" s="8" t="s">
        <v>226</v>
      </c>
      <c r="C35" s="115">
        <v>14.730293450399998</v>
      </c>
      <c r="D35" s="106">
        <v>10.144830199999998</v>
      </c>
    </row>
    <row r="36" spans="1:4" x14ac:dyDescent="0.2">
      <c r="A36" s="108">
        <v>32</v>
      </c>
      <c r="B36" s="8" t="s">
        <v>238</v>
      </c>
      <c r="C36" s="115">
        <v>546.17705999999998</v>
      </c>
      <c r="D36" s="106">
        <v>376.15499999999992</v>
      </c>
    </row>
    <row r="37" spans="1:4" x14ac:dyDescent="0.2">
      <c r="A37" s="108">
        <v>33</v>
      </c>
      <c r="B37" s="8" t="s">
        <v>237</v>
      </c>
      <c r="C37" s="115">
        <v>16.605251812468776</v>
      </c>
      <c r="D37" s="106">
        <v>11.436123837788411</v>
      </c>
    </row>
    <row r="38" spans="1:4" ht="13.5" thickBot="1" x14ac:dyDescent="0.25">
      <c r="A38" s="109">
        <v>34</v>
      </c>
      <c r="B38" s="112" t="s">
        <v>230</v>
      </c>
      <c r="C38" s="116">
        <v>163.85311799999999</v>
      </c>
      <c r="D38" s="113">
        <v>112.84649999999998</v>
      </c>
    </row>
  </sheetData>
  <pageMargins left="0.47244094488188981" right="0.62992125984251968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F18"/>
  <sheetViews>
    <sheetView workbookViewId="0">
      <selection activeCell="F14" sqref="F14"/>
    </sheetView>
  </sheetViews>
  <sheetFormatPr baseColWidth="10" defaultRowHeight="12.75" x14ac:dyDescent="0.2"/>
  <cols>
    <col min="2" max="2" width="46.140625" customWidth="1"/>
    <col min="3" max="3" width="4.28515625" customWidth="1"/>
    <col min="4" max="4" width="17.7109375" customWidth="1"/>
    <col min="6" max="6" width="14.85546875" customWidth="1"/>
  </cols>
  <sheetData>
    <row r="6" spans="2:6" ht="13.5" thickBot="1" x14ac:dyDescent="0.25"/>
    <row r="7" spans="2:6" ht="13.5" thickBot="1" x14ac:dyDescent="0.25">
      <c r="B7" s="440" t="s">
        <v>1995</v>
      </c>
      <c r="C7" s="9"/>
    </row>
    <row r="8" spans="2:6" x14ac:dyDescent="0.2">
      <c r="B8" s="9"/>
      <c r="C8" s="9"/>
    </row>
    <row r="9" spans="2:6" ht="13.5" thickBot="1" x14ac:dyDescent="0.25">
      <c r="D9" s="9" t="s">
        <v>1996</v>
      </c>
      <c r="E9" s="9" t="s">
        <v>1997</v>
      </c>
      <c r="F9" s="9" t="s">
        <v>1998</v>
      </c>
    </row>
    <row r="10" spans="2:6" x14ac:dyDescent="0.2">
      <c r="B10" s="432" t="s">
        <v>1992</v>
      </c>
      <c r="C10" s="433"/>
      <c r="D10" s="434">
        <v>105</v>
      </c>
      <c r="E10" s="434">
        <v>7</v>
      </c>
      <c r="F10" s="435">
        <f>E10*D10</f>
        <v>735</v>
      </c>
    </row>
    <row r="11" spans="2:6" x14ac:dyDescent="0.2">
      <c r="B11" s="436" t="s">
        <v>1993</v>
      </c>
      <c r="C11" s="430"/>
      <c r="D11" s="431">
        <v>260</v>
      </c>
      <c r="E11" s="431">
        <v>7</v>
      </c>
      <c r="F11" s="437">
        <f>E11*D11</f>
        <v>1820</v>
      </c>
    </row>
    <row r="12" spans="2:6" x14ac:dyDescent="0.2">
      <c r="B12" s="436" t="s">
        <v>1994</v>
      </c>
      <c r="C12" s="430"/>
      <c r="D12" s="431">
        <v>10</v>
      </c>
      <c r="E12" s="431">
        <v>10</v>
      </c>
      <c r="F12" s="437">
        <f t="shared" ref="F12" si="0">E12*D12</f>
        <v>100</v>
      </c>
    </row>
    <row r="13" spans="2:6" x14ac:dyDescent="0.2">
      <c r="B13" s="108"/>
      <c r="C13" s="431"/>
      <c r="D13" s="431"/>
      <c r="E13" s="431"/>
      <c r="F13" s="437"/>
    </row>
    <row r="14" spans="2:6" ht="13.5" thickBot="1" x14ac:dyDescent="0.25">
      <c r="B14" s="109"/>
      <c r="C14" s="438"/>
      <c r="D14" s="438"/>
      <c r="E14" s="438"/>
      <c r="F14" s="439">
        <f>+F11+F12</f>
        <v>1920</v>
      </c>
    </row>
    <row r="16" spans="2:6" ht="13.5" thickBot="1" x14ac:dyDescent="0.25"/>
    <row r="17" spans="2:6" x14ac:dyDescent="0.2">
      <c r="B17" s="432" t="s">
        <v>1999</v>
      </c>
      <c r="C17" s="433"/>
      <c r="D17" s="434">
        <v>620</v>
      </c>
      <c r="E17" s="434"/>
      <c r="F17" s="435">
        <f>D17</f>
        <v>620</v>
      </c>
    </row>
    <row r="18" spans="2:6" ht="13.5" thickBot="1" x14ac:dyDescent="0.25">
      <c r="B18" s="109"/>
      <c r="C18" s="438"/>
      <c r="D18" s="438"/>
      <c r="E18" s="438"/>
      <c r="F18" s="439"/>
    </row>
  </sheetData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Q34"/>
  <sheetViews>
    <sheetView tabSelected="1" zoomScaleNormal="100" zoomScaleSheetLayoutView="100" workbookViewId="0">
      <selection activeCell="O9" sqref="O9"/>
    </sheetView>
  </sheetViews>
  <sheetFormatPr baseColWidth="10" defaultColWidth="9.140625" defaultRowHeight="12.75" x14ac:dyDescent="0.2"/>
  <cols>
    <col min="1" max="1" width="11.42578125" customWidth="1"/>
    <col min="2" max="2" width="0.85546875" customWidth="1"/>
    <col min="3" max="3" width="6.5703125" bestFit="1" customWidth="1"/>
    <col min="4" max="4" width="39.140625" bestFit="1" customWidth="1"/>
    <col min="5" max="5" width="7.85546875" customWidth="1"/>
    <col min="6" max="7" width="10.28515625" customWidth="1"/>
    <col min="8" max="8" width="14.7109375" customWidth="1"/>
    <col min="9" max="9" width="11.42578125" customWidth="1"/>
    <col min="10" max="10" width="14.7109375" customWidth="1"/>
    <col min="11" max="11" width="10.28515625" customWidth="1"/>
    <col min="12" max="13" width="14.7109375" customWidth="1"/>
    <col min="14" max="14" width="20.140625" customWidth="1"/>
    <col min="15" max="15" width="13.28515625" bestFit="1" customWidth="1"/>
    <col min="16" max="257" width="11.42578125" customWidth="1"/>
  </cols>
  <sheetData>
    <row r="8" spans="3:17" ht="3" customHeight="1" thickBot="1" x14ac:dyDescent="0.25"/>
    <row r="9" spans="3:17" ht="39.75" customHeight="1" thickBot="1" x14ac:dyDescent="0.3">
      <c r="D9" s="510" t="s">
        <v>2004</v>
      </c>
      <c r="E9" s="511"/>
      <c r="F9" s="511"/>
      <c r="G9" s="511"/>
      <c r="H9" s="511"/>
      <c r="I9" s="511"/>
      <c r="J9" s="511"/>
      <c r="K9" s="511"/>
      <c r="L9" s="511"/>
      <c r="M9" s="511"/>
      <c r="N9" s="512"/>
    </row>
    <row r="10" spans="3:17" ht="13.5" thickBot="1" x14ac:dyDescent="0.25"/>
    <row r="11" spans="3:17" ht="13.5" thickBot="1" x14ac:dyDescent="0.25">
      <c r="C11" s="517" t="s">
        <v>1988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9"/>
    </row>
    <row r="12" spans="3:17" ht="13.5" thickBot="1" x14ac:dyDescent="0.25">
      <c r="N12" s="425"/>
    </row>
    <row r="13" spans="3:17" x14ac:dyDescent="0.2">
      <c r="C13" s="528" t="s">
        <v>1974</v>
      </c>
      <c r="D13" s="513" t="s">
        <v>249</v>
      </c>
      <c r="E13" s="513" t="s">
        <v>1975</v>
      </c>
      <c r="F13" s="515" t="s">
        <v>1929</v>
      </c>
      <c r="G13" s="524" t="s">
        <v>1976</v>
      </c>
      <c r="H13" s="525"/>
      <c r="I13" s="524" t="s">
        <v>1979</v>
      </c>
      <c r="J13" s="525"/>
      <c r="K13" s="526" t="s">
        <v>1978</v>
      </c>
      <c r="L13" s="527"/>
      <c r="M13" s="520" t="s">
        <v>1986</v>
      </c>
      <c r="N13" s="522" t="s">
        <v>2</v>
      </c>
    </row>
    <row r="14" spans="3:17" ht="13.5" thickBot="1" x14ac:dyDescent="0.25">
      <c r="C14" s="529"/>
      <c r="D14" s="514"/>
      <c r="E14" s="514"/>
      <c r="F14" s="516"/>
      <c r="G14" s="411" t="s">
        <v>1977</v>
      </c>
      <c r="H14" s="408" t="s">
        <v>2</v>
      </c>
      <c r="I14" s="411" t="s">
        <v>1977</v>
      </c>
      <c r="J14" s="408" t="s">
        <v>2</v>
      </c>
      <c r="K14" s="410" t="s">
        <v>1977</v>
      </c>
      <c r="L14" s="407" t="s">
        <v>2</v>
      </c>
      <c r="M14" s="521"/>
      <c r="N14" s="523"/>
    </row>
    <row r="15" spans="3:17" x14ac:dyDescent="0.2">
      <c r="C15" s="441">
        <v>1</v>
      </c>
      <c r="D15" s="442" t="s">
        <v>1983</v>
      </c>
      <c r="E15" s="443" t="s">
        <v>9</v>
      </c>
      <c r="F15" s="444">
        <f>+F19*0.3</f>
        <v>576</v>
      </c>
      <c r="G15" s="445"/>
      <c r="H15" s="478"/>
      <c r="I15" s="445"/>
      <c r="J15" s="478"/>
      <c r="K15" s="445"/>
      <c r="L15" s="478"/>
      <c r="M15" s="478"/>
      <c r="N15" s="448"/>
      <c r="O15" s="1"/>
    </row>
    <row r="16" spans="3:17" x14ac:dyDescent="0.2">
      <c r="C16" s="449">
        <v>2</v>
      </c>
      <c r="D16" s="450" t="s">
        <v>1980</v>
      </c>
      <c r="E16" s="451" t="s">
        <v>14</v>
      </c>
      <c r="F16" s="452">
        <f>+'COMPUTO METRICO'!F14</f>
        <v>1920</v>
      </c>
      <c r="G16" s="453"/>
      <c r="H16" s="479"/>
      <c r="I16" s="453"/>
      <c r="J16" s="479"/>
      <c r="K16" s="453"/>
      <c r="L16" s="479"/>
      <c r="M16" s="479"/>
      <c r="N16" s="456"/>
      <c r="O16" s="1"/>
      <c r="Q16" s="12"/>
    </row>
    <row r="17" spans="2:15" x14ac:dyDescent="0.2">
      <c r="C17" s="449">
        <v>3</v>
      </c>
      <c r="D17" s="450" t="s">
        <v>1981</v>
      </c>
      <c r="E17" s="451" t="s">
        <v>9</v>
      </c>
      <c r="F17" s="452">
        <v>294.25137845439809</v>
      </c>
      <c r="G17" s="453"/>
      <c r="H17" s="479"/>
      <c r="I17" s="453"/>
      <c r="J17" s="479"/>
      <c r="K17" s="453"/>
      <c r="L17" s="479"/>
      <c r="M17" s="481"/>
      <c r="N17" s="493"/>
      <c r="O17" s="1"/>
    </row>
    <row r="18" spans="2:15" x14ac:dyDescent="0.2">
      <c r="C18" s="449">
        <v>4</v>
      </c>
      <c r="D18" s="450" t="s">
        <v>1982</v>
      </c>
      <c r="E18" s="451" t="s">
        <v>281</v>
      </c>
      <c r="F18" s="452">
        <v>750</v>
      </c>
      <c r="G18" s="453"/>
      <c r="H18" s="479"/>
      <c r="I18" s="453"/>
      <c r="J18" s="487"/>
      <c r="K18" s="488"/>
      <c r="L18" s="487"/>
      <c r="M18" s="487"/>
      <c r="N18" s="492"/>
      <c r="O18" s="1"/>
    </row>
    <row r="19" spans="2:15" x14ac:dyDescent="0.2">
      <c r="C19" s="449">
        <v>5</v>
      </c>
      <c r="D19" s="457" t="s">
        <v>1990</v>
      </c>
      <c r="E19" s="451" t="s">
        <v>14</v>
      </c>
      <c r="F19" s="452">
        <f>+'COMPUTO METRICO'!F14</f>
        <v>1920</v>
      </c>
      <c r="G19" s="453"/>
      <c r="H19" s="479"/>
      <c r="I19" s="453"/>
      <c r="J19" s="479"/>
      <c r="K19" s="453"/>
      <c r="L19" s="479"/>
      <c r="M19" s="479"/>
      <c r="N19" s="456"/>
      <c r="O19" s="1"/>
    </row>
    <row r="20" spans="2:15" ht="13.5" thickBot="1" x14ac:dyDescent="0.25">
      <c r="C20" s="458">
        <v>6</v>
      </c>
      <c r="D20" s="459" t="s">
        <v>1989</v>
      </c>
      <c r="E20" s="460" t="s">
        <v>14</v>
      </c>
      <c r="F20" s="461">
        <v>880.19003523471497</v>
      </c>
      <c r="G20" s="462"/>
      <c r="H20" s="480"/>
      <c r="I20" s="462"/>
      <c r="J20" s="489"/>
      <c r="K20" s="490"/>
      <c r="L20" s="489"/>
      <c r="M20" s="489"/>
      <c r="N20" s="491"/>
      <c r="O20" s="1"/>
    </row>
    <row r="21" spans="2:15" ht="13.5" thickBot="1" x14ac:dyDescent="0.25">
      <c r="C21" s="426"/>
      <c r="D21" s="427"/>
      <c r="E21" s="426"/>
      <c r="F21" s="426"/>
      <c r="G21" s="405"/>
      <c r="H21" s="466"/>
      <c r="I21" s="405"/>
      <c r="J21" s="466"/>
      <c r="K21" s="426"/>
      <c r="L21" s="466"/>
      <c r="M21" s="3"/>
      <c r="N21" s="428"/>
      <c r="O21" s="1"/>
    </row>
    <row r="22" spans="2:15" x14ac:dyDescent="0.2">
      <c r="C22" s="470"/>
      <c r="D22" s="472" t="s">
        <v>1933</v>
      </c>
      <c r="E22" s="485"/>
      <c r="F22" s="486"/>
      <c r="G22" s="485"/>
      <c r="H22" s="482"/>
      <c r="I22" s="485"/>
      <c r="J22" s="483"/>
      <c r="K22" s="468"/>
      <c r="L22" s="483"/>
      <c r="M22" s="434"/>
      <c r="N22" s="484"/>
      <c r="O22" s="409"/>
    </row>
    <row r="23" spans="2:15" hidden="1" x14ac:dyDescent="0.2">
      <c r="C23" s="470"/>
      <c r="D23" s="467" t="s">
        <v>2000</v>
      </c>
      <c r="E23" s="413"/>
      <c r="F23" s="414"/>
      <c r="G23" s="413"/>
      <c r="H23" s="476"/>
      <c r="I23" s="413"/>
      <c r="J23" s="476"/>
      <c r="K23" s="474"/>
      <c r="L23" s="476"/>
      <c r="M23" s="7"/>
      <c r="N23" s="477"/>
      <c r="O23" s="409"/>
    </row>
    <row r="24" spans="2:15" x14ac:dyDescent="0.2">
      <c r="C24" s="470"/>
      <c r="D24" s="500" t="s">
        <v>2003</v>
      </c>
      <c r="E24" s="413"/>
      <c r="F24" s="414"/>
      <c r="G24" s="413"/>
      <c r="H24" s="473"/>
      <c r="I24" s="415"/>
      <c r="J24" s="473"/>
      <c r="K24" s="415"/>
      <c r="L24" s="473"/>
      <c r="M24" s="4"/>
      <c r="N24" s="475"/>
      <c r="O24" s="409"/>
    </row>
    <row r="25" spans="2:15" x14ac:dyDescent="0.2">
      <c r="C25" s="470"/>
      <c r="D25" s="501" t="s">
        <v>2002</v>
      </c>
      <c r="E25" s="494"/>
      <c r="F25" s="495"/>
      <c r="G25" s="494"/>
      <c r="H25" s="496"/>
      <c r="I25" s="497"/>
      <c r="J25" s="497"/>
      <c r="K25" s="497"/>
      <c r="L25" s="496"/>
      <c r="M25" s="498"/>
      <c r="N25" s="499"/>
      <c r="O25" s="409"/>
    </row>
    <row r="26" spans="2:15" x14ac:dyDescent="0.2">
      <c r="B26" s="5"/>
      <c r="C26" s="470"/>
      <c r="D26" s="503" t="s">
        <v>2001</v>
      </c>
      <c r="E26" s="504"/>
      <c r="F26" s="505"/>
      <c r="G26" s="504"/>
      <c r="H26" s="508"/>
      <c r="I26" s="506"/>
      <c r="J26" s="509"/>
      <c r="K26" s="506"/>
      <c r="L26" s="508"/>
      <c r="M26" s="507"/>
      <c r="N26" s="477"/>
      <c r="O26" s="409"/>
    </row>
    <row r="27" spans="2:15" ht="13.5" thickBot="1" x14ac:dyDescent="0.25">
      <c r="C27" s="470"/>
      <c r="D27" s="502" t="s">
        <v>1987</v>
      </c>
      <c r="E27" s="413"/>
      <c r="F27" s="414">
        <v>0.21</v>
      </c>
      <c r="G27" s="413"/>
      <c r="H27" s="474"/>
      <c r="I27" s="415"/>
      <c r="J27" s="415"/>
      <c r="K27" s="415"/>
      <c r="L27" s="474"/>
      <c r="M27" s="4"/>
      <c r="N27" s="475"/>
      <c r="O27" s="409"/>
    </row>
    <row r="28" spans="2:15" ht="13.5" thickBot="1" x14ac:dyDescent="0.25">
      <c r="C28" s="470"/>
      <c r="D28" s="469" t="s">
        <v>2</v>
      </c>
      <c r="E28" s="417"/>
      <c r="F28" s="417"/>
      <c r="G28" s="417"/>
      <c r="H28" s="417"/>
      <c r="I28" s="417"/>
      <c r="J28" s="417"/>
      <c r="K28" s="417"/>
      <c r="L28" s="417"/>
      <c r="M28" s="419"/>
      <c r="N28" s="424"/>
    </row>
    <row r="29" spans="2:15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5" x14ac:dyDescent="0.2">
      <c r="C30" s="5"/>
      <c r="D30" s="530" t="s">
        <v>2005</v>
      </c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409"/>
    </row>
    <row r="31" spans="2:15" x14ac:dyDescent="0.2">
      <c r="C31" s="471"/>
      <c r="D31" s="12"/>
      <c r="E31" s="12"/>
      <c r="F31" s="12"/>
      <c r="G31" s="12"/>
      <c r="H31" s="12"/>
      <c r="I31" s="12"/>
      <c r="J31" s="12"/>
      <c r="K31" s="12"/>
      <c r="L31" s="12"/>
    </row>
    <row r="32" spans="2:15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3:12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3:12" x14ac:dyDescent="0.2">
      <c r="C34" s="12"/>
      <c r="D34" s="12"/>
      <c r="E34" s="12"/>
      <c r="F34" s="12"/>
      <c r="G34" s="12"/>
      <c r="H34" s="12"/>
      <c r="I34" s="471"/>
      <c r="J34" s="471"/>
      <c r="K34" s="12"/>
      <c r="L34" s="12"/>
    </row>
  </sheetData>
  <mergeCells count="12">
    <mergeCell ref="D30:N30"/>
    <mergeCell ref="N13:N14"/>
    <mergeCell ref="D9:N9"/>
    <mergeCell ref="C11:N11"/>
    <mergeCell ref="C13:C14"/>
    <mergeCell ref="D13:D14"/>
    <mergeCell ref="E13:E14"/>
    <mergeCell ref="F13:F14"/>
    <mergeCell ref="G13:H13"/>
    <mergeCell ref="I13:J13"/>
    <mergeCell ref="K13:L13"/>
    <mergeCell ref="M13:M14"/>
  </mergeCells>
  <pageMargins left="0.23622047244094491" right="0.15748031496062992" top="1.1811023622047245" bottom="0.7480314960629921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7"/>
  <sheetViews>
    <sheetView topLeftCell="A36" zoomScale="130" zoomScaleNormal="130" workbookViewId="0">
      <selection activeCell="B39" sqref="B39"/>
    </sheetView>
  </sheetViews>
  <sheetFormatPr baseColWidth="10" defaultColWidth="9.140625" defaultRowHeight="12.75" x14ac:dyDescent="0.2"/>
  <cols>
    <col min="1" max="1" width="11.42578125" customWidth="1"/>
    <col min="2" max="2" width="71.5703125" customWidth="1"/>
    <col min="3" max="4" width="11.42578125" customWidth="1"/>
    <col min="5" max="5" width="11.7109375" bestFit="1" customWidth="1"/>
    <col min="6" max="7" width="11.7109375" hidden="1" customWidth="1"/>
    <col min="8" max="8" width="14.28515625" bestFit="1" customWidth="1"/>
    <col min="9" max="9" width="11.42578125" customWidth="1"/>
    <col min="10" max="10" width="11.7109375" bestFit="1" customWidth="1"/>
    <col min="11" max="256" width="11.42578125" customWidth="1"/>
  </cols>
  <sheetData>
    <row r="1" spans="1:13" ht="13.5" hidden="1" customHeight="1" thickBot="1" x14ac:dyDescent="0.25">
      <c r="A1" s="287"/>
      <c r="B1" s="532" t="s">
        <v>1946</v>
      </c>
      <c r="C1" s="532"/>
      <c r="D1" s="532"/>
      <c r="E1" s="532"/>
      <c r="F1" s="532"/>
      <c r="G1" s="532"/>
      <c r="H1" s="533"/>
    </row>
    <row r="2" spans="1:13" ht="25.5" hidden="1" customHeight="1" x14ac:dyDescent="0.2">
      <c r="A2" s="306" t="s">
        <v>183</v>
      </c>
      <c r="B2" s="306" t="s">
        <v>1928</v>
      </c>
      <c r="C2" s="306" t="s">
        <v>1</v>
      </c>
      <c r="D2" s="306" t="s">
        <v>1929</v>
      </c>
      <c r="E2" s="306" t="s">
        <v>1930</v>
      </c>
      <c r="F2" s="306"/>
      <c r="G2" s="306"/>
      <c r="H2" s="306" t="s">
        <v>1931</v>
      </c>
      <c r="K2">
        <v>1113</v>
      </c>
      <c r="L2">
        <f>+K2*0.95</f>
        <v>1057.3499999999999</v>
      </c>
    </row>
    <row r="3" spans="1:13" ht="12.75" hidden="1" customHeight="1" x14ac:dyDescent="0.2">
      <c r="A3" s="307">
        <v>1</v>
      </c>
      <c r="B3" s="310" t="s">
        <v>185</v>
      </c>
      <c r="C3" s="307" t="s">
        <v>14</v>
      </c>
      <c r="D3" s="308">
        <f>+K4</f>
        <v>33474</v>
      </c>
      <c r="E3" s="309">
        <v>0.83848800000000012</v>
      </c>
      <c r="F3" s="309"/>
      <c r="G3" s="309"/>
      <c r="H3" s="309">
        <f>+E3*D3</f>
        <v>28067.547312000002</v>
      </c>
    </row>
    <row r="4" spans="1:13" ht="12.75" hidden="1" customHeight="1" x14ac:dyDescent="0.2">
      <c r="A4" s="307">
        <v>2</v>
      </c>
      <c r="B4" s="310" t="s">
        <v>186</v>
      </c>
      <c r="C4" s="290" t="s">
        <v>9</v>
      </c>
      <c r="D4" s="291">
        <f>+D3*0.4</f>
        <v>13389.6</v>
      </c>
      <c r="E4" s="309">
        <v>23.760956549333326</v>
      </c>
      <c r="F4" s="309"/>
      <c r="G4" s="309"/>
      <c r="H4" s="309">
        <f>+D4*E4</f>
        <v>318149.70381295349</v>
      </c>
      <c r="K4">
        <v>33474</v>
      </c>
      <c r="L4">
        <f>+K4*0.03</f>
        <v>1004.2199999999999</v>
      </c>
      <c r="M4">
        <v>24.5</v>
      </c>
    </row>
    <row r="5" spans="1:13" ht="12.75" hidden="1" customHeight="1" x14ac:dyDescent="0.2">
      <c r="A5" s="307">
        <v>3</v>
      </c>
      <c r="B5" s="310" t="s">
        <v>231</v>
      </c>
      <c r="C5" s="290" t="s">
        <v>14</v>
      </c>
      <c r="D5" s="291">
        <f>+D3</f>
        <v>33474</v>
      </c>
      <c r="E5" s="309">
        <v>10.668551181999996</v>
      </c>
      <c r="F5" s="309"/>
      <c r="G5" s="309"/>
      <c r="H5" s="309">
        <f t="shared" ref="H5:H12" si="0">+D5*E5</f>
        <v>357119.08226626785</v>
      </c>
    </row>
    <row r="6" spans="1:13" ht="12.75" hidden="1" customHeight="1" x14ac:dyDescent="0.2">
      <c r="A6" s="307">
        <v>4</v>
      </c>
      <c r="B6" s="310" t="e">
        <f>+#REF!</f>
        <v>#REF!</v>
      </c>
      <c r="C6" s="290" t="s">
        <v>9</v>
      </c>
      <c r="D6" s="291">
        <f>+D3*0.2</f>
        <v>6694.8</v>
      </c>
      <c r="E6" s="309" t="e">
        <f>+#REF!</f>
        <v>#REF!</v>
      </c>
      <c r="F6" s="309"/>
      <c r="G6" s="309"/>
      <c r="H6" s="309" t="e">
        <f t="shared" si="0"/>
        <v>#REF!</v>
      </c>
    </row>
    <row r="7" spans="1:13" ht="25.5" hidden="1" customHeight="1" x14ac:dyDescent="0.2">
      <c r="A7" s="307">
        <v>5</v>
      </c>
      <c r="B7" s="310" t="e">
        <f>+#REF!</f>
        <v>#REF!</v>
      </c>
      <c r="C7" s="290" t="s">
        <v>14</v>
      </c>
      <c r="D7" s="291">
        <f>+K4-L4</f>
        <v>32469.78</v>
      </c>
      <c r="E7" s="309" t="e">
        <f>+#REF!</f>
        <v>#REF!</v>
      </c>
      <c r="F7" s="309"/>
      <c r="G7" s="309"/>
      <c r="H7" s="309" t="e">
        <f t="shared" si="0"/>
        <v>#REF!</v>
      </c>
    </row>
    <row r="8" spans="1:13" ht="12.75" hidden="1" customHeight="1" x14ac:dyDescent="0.2">
      <c r="A8" s="307">
        <v>6</v>
      </c>
      <c r="B8" s="310" t="s">
        <v>200</v>
      </c>
      <c r="C8" s="290" t="s">
        <v>224</v>
      </c>
      <c r="D8" s="291">
        <v>400</v>
      </c>
      <c r="E8" s="309">
        <v>447.43063999999998</v>
      </c>
      <c r="F8" s="309"/>
      <c r="G8" s="309"/>
      <c r="H8" s="309">
        <f t="shared" si="0"/>
        <v>178972.25599999999</v>
      </c>
    </row>
    <row r="9" spans="1:13" ht="12.75" hidden="1" customHeight="1" x14ac:dyDescent="0.2">
      <c r="A9" s="307">
        <v>7</v>
      </c>
      <c r="B9" s="310" t="s">
        <v>201</v>
      </c>
      <c r="C9" s="290" t="s">
        <v>224</v>
      </c>
      <c r="D9" s="291">
        <v>200</v>
      </c>
      <c r="E9" s="309">
        <v>534.39463999999998</v>
      </c>
      <c r="F9" s="309"/>
      <c r="G9" s="309"/>
      <c r="H9" s="309">
        <f t="shared" si="0"/>
        <v>106878.928</v>
      </c>
    </row>
    <row r="10" spans="1:13" ht="24" hidden="1" customHeight="1" x14ac:dyDescent="0.2">
      <c r="A10" s="307">
        <v>9</v>
      </c>
      <c r="B10" s="310" t="e">
        <f>+#REF!</f>
        <v>#REF!</v>
      </c>
      <c r="C10" s="290" t="s">
        <v>14</v>
      </c>
      <c r="D10" s="291">
        <f>+L4</f>
        <v>1004.2199999999999</v>
      </c>
      <c r="E10" s="309" t="e">
        <f>+#REF!</f>
        <v>#REF!</v>
      </c>
      <c r="F10" s="309"/>
      <c r="G10" s="309"/>
      <c r="H10" s="309" t="e">
        <f t="shared" si="0"/>
        <v>#REF!</v>
      </c>
    </row>
    <row r="11" spans="1:13" ht="25.5" hidden="1" customHeight="1" x14ac:dyDescent="0.2">
      <c r="A11" s="307">
        <v>10</v>
      </c>
      <c r="B11" s="310" t="e">
        <f>+#REF!</f>
        <v>#REF!</v>
      </c>
      <c r="C11" s="290" t="s">
        <v>7</v>
      </c>
      <c r="D11" s="291">
        <f>+L2*2</f>
        <v>2114.6999999999998</v>
      </c>
      <c r="E11" s="309" t="e">
        <f>+#REF!</f>
        <v>#REF!</v>
      </c>
      <c r="F11" s="309"/>
      <c r="G11" s="309"/>
      <c r="H11" s="309" t="e">
        <f t="shared" si="0"/>
        <v>#REF!</v>
      </c>
    </row>
    <row r="12" spans="1:13" ht="12.75" hidden="1" customHeight="1" x14ac:dyDescent="0.2">
      <c r="A12" s="307">
        <v>11</v>
      </c>
      <c r="B12" s="310" t="s">
        <v>223</v>
      </c>
      <c r="C12" s="307" t="s">
        <v>1945</v>
      </c>
      <c r="D12" s="308">
        <f>+D3/10000</f>
        <v>3.3473999999999999</v>
      </c>
      <c r="E12" s="309">
        <v>6206.6863692147999</v>
      </c>
      <c r="F12" s="309"/>
      <c r="G12" s="309"/>
      <c r="H12" s="309">
        <f t="shared" si="0"/>
        <v>20776.261952309622</v>
      </c>
    </row>
    <row r="13" spans="1:13" ht="13.5" hidden="1" customHeight="1" thickBot="1" x14ac:dyDescent="0.25">
      <c r="A13" s="292"/>
      <c r="B13" s="292"/>
      <c r="C13" s="292"/>
      <c r="D13" s="292"/>
      <c r="E13" s="293"/>
      <c r="F13" s="293"/>
      <c r="G13" s="293"/>
      <c r="H13" s="293"/>
    </row>
    <row r="14" spans="1:13" ht="12.75" hidden="1" customHeight="1" x14ac:dyDescent="0.2">
      <c r="A14" s="294" t="s">
        <v>1932</v>
      </c>
      <c r="B14" s="295" t="s">
        <v>1933</v>
      </c>
      <c r="C14" s="296"/>
      <c r="D14" s="296"/>
      <c r="E14" s="296"/>
      <c r="F14" s="296"/>
      <c r="G14" s="296"/>
      <c r="H14" s="297" t="e">
        <f>SUM(H4:H13)</f>
        <v>#REF!</v>
      </c>
    </row>
    <row r="15" spans="1:13" ht="12.75" hidden="1" customHeight="1" x14ac:dyDescent="0.2">
      <c r="A15" s="298" t="s">
        <v>1934</v>
      </c>
      <c r="B15" s="299" t="s">
        <v>1935</v>
      </c>
      <c r="C15" s="288">
        <v>0.1</v>
      </c>
      <c r="D15" s="300" t="s">
        <v>1936</v>
      </c>
      <c r="E15" s="301"/>
      <c r="F15" s="288"/>
      <c r="G15" s="288"/>
      <c r="H15" s="289" t="e">
        <f>+H14*C15</f>
        <v>#REF!</v>
      </c>
    </row>
    <row r="16" spans="1:13" ht="12.75" hidden="1" customHeight="1" x14ac:dyDescent="0.2">
      <c r="A16" s="298" t="s">
        <v>1937</v>
      </c>
      <c r="B16" s="299" t="s">
        <v>1938</v>
      </c>
      <c r="C16" s="288">
        <v>0.1</v>
      </c>
      <c r="D16" s="300" t="s">
        <v>1936</v>
      </c>
      <c r="E16" s="301"/>
      <c r="F16" s="288"/>
      <c r="G16" s="288"/>
      <c r="H16" s="289" t="e">
        <f>+H14*C16</f>
        <v>#REF!</v>
      </c>
    </row>
    <row r="17" spans="1:8" ht="12.75" hidden="1" customHeight="1" x14ac:dyDescent="0.2">
      <c r="A17" s="298" t="s">
        <v>1939</v>
      </c>
      <c r="B17" s="299" t="s">
        <v>1940</v>
      </c>
      <c r="C17" s="288"/>
      <c r="D17" s="288"/>
      <c r="E17" s="301"/>
      <c r="F17" s="288"/>
      <c r="G17" s="288"/>
      <c r="H17" s="289" t="e">
        <f>+H16+H15+H14</f>
        <v>#REF!</v>
      </c>
    </row>
    <row r="18" spans="1:8" ht="13.5" hidden="1" customHeight="1" thickBot="1" x14ac:dyDescent="0.25">
      <c r="A18" s="298" t="s">
        <v>1941</v>
      </c>
      <c r="B18" s="299" t="s">
        <v>1942</v>
      </c>
      <c r="C18" s="288">
        <v>0.21</v>
      </c>
      <c r="D18" s="300" t="s">
        <v>1936</v>
      </c>
      <c r="E18" s="301"/>
      <c r="F18" s="288"/>
      <c r="G18" s="288"/>
      <c r="H18" s="289" t="e">
        <f>+H17*C18</f>
        <v>#REF!</v>
      </c>
    </row>
    <row r="19" spans="1:8" ht="13.5" hidden="1" customHeight="1" thickBot="1" x14ac:dyDescent="0.25">
      <c r="A19" s="302" t="s">
        <v>1943</v>
      </c>
      <c r="B19" s="303" t="s">
        <v>1944</v>
      </c>
      <c r="C19" s="304"/>
      <c r="D19" s="304"/>
      <c r="E19" s="304"/>
      <c r="F19" s="304"/>
      <c r="G19" s="304"/>
      <c r="H19" s="305" t="e">
        <f>+H18+H17</f>
        <v>#REF!</v>
      </c>
    </row>
    <row r="27" spans="1:8" x14ac:dyDescent="0.2">
      <c r="A27" s="534" t="s">
        <v>1947</v>
      </c>
      <c r="B27" s="534"/>
      <c r="C27" s="534"/>
      <c r="D27" s="534"/>
      <c r="E27" s="534"/>
      <c r="F27" s="534"/>
      <c r="G27" s="534"/>
      <c r="H27" s="534"/>
    </row>
    <row r="28" spans="1:8" ht="7.5" customHeight="1" x14ac:dyDescent="0.2"/>
    <row r="29" spans="1:8" x14ac:dyDescent="0.2">
      <c r="A29" s="534" t="s">
        <v>1948</v>
      </c>
      <c r="B29" s="534"/>
      <c r="C29" s="534"/>
      <c r="D29" s="534"/>
      <c r="E29" s="534"/>
      <c r="F29" s="534"/>
      <c r="G29" s="534"/>
      <c r="H29" s="534"/>
    </row>
    <row r="30" spans="1:8" ht="7.5" customHeight="1" x14ac:dyDescent="0.2"/>
    <row r="31" spans="1:8" x14ac:dyDescent="0.2">
      <c r="A31" s="534"/>
      <c r="B31" s="534"/>
      <c r="C31" s="534"/>
      <c r="D31" s="534"/>
      <c r="E31" s="534"/>
      <c r="F31" s="534"/>
      <c r="G31" s="534"/>
      <c r="H31" s="534"/>
    </row>
    <row r="32" spans="1:8" x14ac:dyDescent="0.2">
      <c r="A32" s="311"/>
      <c r="B32" s="311"/>
      <c r="C32" s="311"/>
      <c r="D32" s="311"/>
      <c r="E32" s="311"/>
      <c r="F32" s="311"/>
      <c r="G32" s="311"/>
      <c r="H32" s="311"/>
    </row>
    <row r="33" spans="1:11" x14ac:dyDescent="0.2">
      <c r="A33" s="347" t="s">
        <v>1966</v>
      </c>
      <c r="B33" s="348" t="s">
        <v>1970</v>
      </c>
    </row>
    <row r="34" spans="1:11" ht="13.5" thickBot="1" x14ac:dyDescent="0.25">
      <c r="A34" s="286"/>
      <c r="B34" s="286"/>
      <c r="C34" s="286"/>
      <c r="D34" s="286"/>
      <c r="E34" s="286"/>
      <c r="F34" s="286"/>
      <c r="G34" s="286"/>
      <c r="H34" s="286"/>
    </row>
    <row r="35" spans="1:11" ht="13.5" thickBot="1" x14ac:dyDescent="0.25">
      <c r="A35" s="287"/>
      <c r="B35" s="532" t="s">
        <v>1972</v>
      </c>
      <c r="C35" s="532"/>
      <c r="D35" s="532"/>
      <c r="E35" s="532"/>
      <c r="F35" s="532"/>
      <c r="G35" s="532"/>
      <c r="H35" s="533"/>
    </row>
    <row r="36" spans="1:11" ht="26.25" thickBot="1" x14ac:dyDescent="0.25">
      <c r="A36" s="336" t="s">
        <v>183</v>
      </c>
      <c r="B36" s="337" t="s">
        <v>1928</v>
      </c>
      <c r="C36" s="338" t="s">
        <v>1</v>
      </c>
      <c r="D36" s="337" t="s">
        <v>1929</v>
      </c>
      <c r="E36" s="339" t="s">
        <v>1930</v>
      </c>
      <c r="F36" s="337" t="s">
        <v>1951</v>
      </c>
      <c r="G36" s="336" t="s">
        <v>1950</v>
      </c>
      <c r="H36" s="337" t="s">
        <v>1931</v>
      </c>
    </row>
    <row r="37" spans="1:11" hidden="1" x14ac:dyDescent="0.2">
      <c r="A37" s="328">
        <v>2</v>
      </c>
      <c r="B37" s="329" t="e">
        <f>+#REF!</f>
        <v>#REF!</v>
      </c>
      <c r="C37" s="330" t="s">
        <v>14</v>
      </c>
      <c r="D37" s="331">
        <v>0</v>
      </c>
      <c r="E37" s="332" t="e">
        <f>+#REF!</f>
        <v>#REF!</v>
      </c>
      <c r="F37" s="333"/>
      <c r="G37" s="334"/>
      <c r="H37" s="326" t="e">
        <f t="shared" ref="H37:H43" si="1">+E37*D37</f>
        <v>#REF!</v>
      </c>
    </row>
    <row r="38" spans="1:11" hidden="1" x14ac:dyDescent="0.2">
      <c r="A38" s="398">
        <v>2</v>
      </c>
      <c r="B38" s="381" t="e">
        <f>+#REF!</f>
        <v>#REF!</v>
      </c>
      <c r="C38" s="382" t="s">
        <v>14</v>
      </c>
      <c r="D38" s="383">
        <v>0</v>
      </c>
      <c r="E38" s="384" t="e">
        <f>+#REF!</f>
        <v>#REF!</v>
      </c>
      <c r="F38" s="385"/>
      <c r="G38" s="386"/>
      <c r="H38" s="375" t="e">
        <f t="shared" si="1"/>
        <v>#REF!</v>
      </c>
    </row>
    <row r="39" spans="1:11" x14ac:dyDescent="0.2">
      <c r="A39" s="399">
        <v>2</v>
      </c>
      <c r="B39" s="387" t="e">
        <f>+#REF!</f>
        <v>#REF!</v>
      </c>
      <c r="C39" s="388" t="s">
        <v>14</v>
      </c>
      <c r="D39" s="389">
        <v>1</v>
      </c>
      <c r="E39" s="390" t="e">
        <f>+#REF!</f>
        <v>#REF!</v>
      </c>
      <c r="F39" s="390">
        <v>0</v>
      </c>
      <c r="G39" s="390">
        <v>0</v>
      </c>
      <c r="H39" s="391" t="e">
        <f t="shared" si="1"/>
        <v>#REF!</v>
      </c>
      <c r="J39" s="1"/>
    </row>
    <row r="40" spans="1:11" x14ac:dyDescent="0.2">
      <c r="A40" s="314">
        <v>3</v>
      </c>
      <c r="B40" s="392" t="e">
        <f>+#REF!</f>
        <v>#REF!</v>
      </c>
      <c r="C40" s="290" t="s">
        <v>9</v>
      </c>
      <c r="D40" s="380">
        <v>0.3</v>
      </c>
      <c r="E40" s="312" t="e">
        <f>+#REF!</f>
        <v>#REF!</v>
      </c>
      <c r="F40" s="312">
        <v>0</v>
      </c>
      <c r="G40" s="312">
        <v>0</v>
      </c>
      <c r="H40" s="393" t="e">
        <f t="shared" si="1"/>
        <v>#REF!</v>
      </c>
      <c r="J40" s="374" t="e">
        <f>+E40*0.3</f>
        <v>#REF!</v>
      </c>
    </row>
    <row r="41" spans="1:11" x14ac:dyDescent="0.2">
      <c r="A41" s="314">
        <v>4</v>
      </c>
      <c r="B41" s="392" t="e">
        <f>+#REF!</f>
        <v>#REF!</v>
      </c>
      <c r="C41" s="290" t="s">
        <v>14</v>
      </c>
      <c r="D41" s="380">
        <v>1</v>
      </c>
      <c r="E41" s="312" t="e">
        <f>+#REF!</f>
        <v>#REF!</v>
      </c>
      <c r="F41" s="312">
        <v>0</v>
      </c>
      <c r="G41" s="312">
        <v>0</v>
      </c>
      <c r="H41" s="393" t="e">
        <f t="shared" si="1"/>
        <v>#REF!</v>
      </c>
      <c r="J41" s="374" t="e">
        <f>+E41</f>
        <v>#REF!</v>
      </c>
    </row>
    <row r="42" spans="1:11" x14ac:dyDescent="0.2">
      <c r="A42" s="314">
        <v>5</v>
      </c>
      <c r="B42" s="392" t="e">
        <f>+#REF!</f>
        <v>#REF!</v>
      </c>
      <c r="C42" s="290" t="s">
        <v>9</v>
      </c>
      <c r="D42" s="380">
        <v>0.15</v>
      </c>
      <c r="E42" s="312" t="e">
        <f>+#REF!</f>
        <v>#REF!</v>
      </c>
      <c r="F42" s="312">
        <v>0</v>
      </c>
      <c r="G42" s="312">
        <v>0</v>
      </c>
      <c r="H42" s="393" t="e">
        <f t="shared" si="1"/>
        <v>#REF!</v>
      </c>
      <c r="J42" s="374" t="e">
        <f>+E42*0.15</f>
        <v>#REF!</v>
      </c>
    </row>
    <row r="43" spans="1:11" hidden="1" x14ac:dyDescent="0.2">
      <c r="A43" s="314">
        <v>6</v>
      </c>
      <c r="B43" s="392" t="e">
        <f>+#REF!</f>
        <v>#REF!</v>
      </c>
      <c r="C43" s="290" t="s">
        <v>9</v>
      </c>
      <c r="D43" s="380">
        <v>0</v>
      </c>
      <c r="E43" s="312" t="e">
        <f>+#REF!</f>
        <v>#REF!</v>
      </c>
      <c r="F43" s="312"/>
      <c r="G43" s="312"/>
      <c r="H43" s="393" t="e">
        <f t="shared" si="1"/>
        <v>#REF!</v>
      </c>
      <c r="J43" s="374"/>
    </row>
    <row r="44" spans="1:11" ht="13.5" thickBot="1" x14ac:dyDescent="0.25">
      <c r="A44" s="315">
        <v>7</v>
      </c>
      <c r="B44" s="394" t="e">
        <f>+#REF!</f>
        <v>#REF!</v>
      </c>
      <c r="C44" s="395" t="s">
        <v>14</v>
      </c>
      <c r="D44" s="396">
        <v>1</v>
      </c>
      <c r="E44" s="313" t="e">
        <f>+#REF!</f>
        <v>#REF!</v>
      </c>
      <c r="F44" s="313"/>
      <c r="G44" s="313"/>
      <c r="H44" s="397" t="e">
        <f>+E44*D44</f>
        <v>#REF!</v>
      </c>
      <c r="J44" s="374"/>
    </row>
    <row r="45" spans="1:11" ht="13.5" thickBot="1" x14ac:dyDescent="0.25">
      <c r="A45" s="292"/>
      <c r="B45" s="292"/>
      <c r="C45" s="292"/>
      <c r="D45" s="292"/>
      <c r="E45" s="293"/>
      <c r="F45" s="293"/>
      <c r="G45" s="293"/>
      <c r="H45" s="293"/>
      <c r="J45" t="e">
        <f>+#REF!+#REF!</f>
        <v>#REF!</v>
      </c>
    </row>
    <row r="46" spans="1:11" x14ac:dyDescent="0.2">
      <c r="A46" s="340" t="s">
        <v>1932</v>
      </c>
      <c r="B46" s="296" t="s">
        <v>1933</v>
      </c>
      <c r="C46" s="343"/>
      <c r="D46" s="296"/>
      <c r="E46" s="296"/>
      <c r="F46" s="296"/>
      <c r="G46" s="296"/>
      <c r="H46" s="369" t="e">
        <f>SUM(H37:H44)</f>
        <v>#REF!</v>
      </c>
    </row>
    <row r="47" spans="1:11" x14ac:dyDescent="0.2">
      <c r="A47" s="341" t="s">
        <v>1934</v>
      </c>
      <c r="B47" s="288" t="s">
        <v>1935</v>
      </c>
      <c r="C47" s="345">
        <v>0.1</v>
      </c>
      <c r="D47" s="300"/>
      <c r="E47" s="301"/>
      <c r="F47" s="288"/>
      <c r="G47" s="288"/>
      <c r="H47" s="316" t="e">
        <f>+H46*C47</f>
        <v>#REF!</v>
      </c>
      <c r="K47" s="80"/>
    </row>
    <row r="48" spans="1:11" x14ac:dyDescent="0.2">
      <c r="A48" s="341" t="s">
        <v>1937</v>
      </c>
      <c r="B48" s="288" t="s">
        <v>1938</v>
      </c>
      <c r="C48" s="345">
        <v>0.1</v>
      </c>
      <c r="D48" s="300"/>
      <c r="E48" s="301"/>
      <c r="F48" s="288"/>
      <c r="G48" s="288"/>
      <c r="H48" s="316" t="e">
        <f>+H46*C48</f>
        <v>#REF!</v>
      </c>
    </row>
    <row r="49" spans="1:11" x14ac:dyDescent="0.2">
      <c r="A49" s="341" t="s">
        <v>1939</v>
      </c>
      <c r="B49" s="288" t="s">
        <v>1940</v>
      </c>
      <c r="C49" s="344"/>
      <c r="D49" s="288"/>
      <c r="E49" s="301"/>
      <c r="F49" s="288"/>
      <c r="G49" s="288"/>
      <c r="H49" s="316" t="e">
        <f>+H48+H47+H46</f>
        <v>#REF!</v>
      </c>
    </row>
    <row r="50" spans="1:11" ht="13.5" thickBot="1" x14ac:dyDescent="0.25">
      <c r="A50" s="341" t="s">
        <v>1941</v>
      </c>
      <c r="B50" s="288" t="s">
        <v>1942</v>
      </c>
      <c r="C50" s="346">
        <v>0.21</v>
      </c>
      <c r="D50" s="300"/>
      <c r="E50" s="301"/>
      <c r="F50" s="288"/>
      <c r="G50" s="288"/>
      <c r="H50" s="316" t="e">
        <f>+H49*C50</f>
        <v>#REF!</v>
      </c>
    </row>
    <row r="51" spans="1:11" ht="13.5" thickBot="1" x14ac:dyDescent="0.25">
      <c r="A51" s="350" t="s">
        <v>1943</v>
      </c>
      <c r="B51" s="349" t="s">
        <v>1944</v>
      </c>
      <c r="C51" s="304"/>
      <c r="D51" s="304"/>
      <c r="E51" s="304"/>
      <c r="F51" s="304"/>
      <c r="G51" s="304"/>
      <c r="H51" s="342" t="e">
        <f>+H50+H49</f>
        <v>#REF!</v>
      </c>
    </row>
    <row r="53" spans="1:11" ht="13.5" thickBot="1" x14ac:dyDescent="0.25">
      <c r="K53" s="1"/>
    </row>
    <row r="54" spans="1:11" ht="13.5" thickBot="1" x14ac:dyDescent="0.25">
      <c r="H54" s="379">
        <v>832214.89928100258</v>
      </c>
    </row>
    <row r="56" spans="1:11" x14ac:dyDescent="0.2">
      <c r="C56">
        <f>100*10</f>
        <v>1000</v>
      </c>
    </row>
    <row r="57" spans="1:11" x14ac:dyDescent="0.2">
      <c r="C57">
        <f>20/C56</f>
        <v>0.02</v>
      </c>
    </row>
  </sheetData>
  <mergeCells count="5">
    <mergeCell ref="B1:H1"/>
    <mergeCell ref="A27:H27"/>
    <mergeCell ref="A29:H29"/>
    <mergeCell ref="A31:H31"/>
    <mergeCell ref="B35:H35"/>
  </mergeCells>
  <printOptions horizontalCentered="1"/>
  <pageMargins left="0.48" right="0.51181102362204722" top="0.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1"/>
  <sheetViews>
    <sheetView topLeftCell="A39" zoomScale="130" zoomScaleNormal="130" workbookViewId="0">
      <selection activeCell="B54" sqref="B54"/>
    </sheetView>
  </sheetViews>
  <sheetFormatPr baseColWidth="10" defaultColWidth="9.140625" defaultRowHeight="12.75" x14ac:dyDescent="0.2"/>
  <cols>
    <col min="1" max="1" width="11.42578125" customWidth="1"/>
    <col min="2" max="2" width="73" customWidth="1"/>
    <col min="3" max="4" width="11.42578125" customWidth="1"/>
    <col min="5" max="5" width="11.7109375" bestFit="1" customWidth="1"/>
    <col min="6" max="7" width="11.7109375" hidden="1" customWidth="1"/>
    <col min="8" max="8" width="14.28515625" bestFit="1" customWidth="1"/>
    <col min="9" max="9" width="11.42578125" customWidth="1"/>
    <col min="10" max="10" width="11.7109375" bestFit="1" customWidth="1"/>
    <col min="11" max="256" width="11.42578125" customWidth="1"/>
  </cols>
  <sheetData>
    <row r="1" spans="1:13" ht="13.5" hidden="1" customHeight="1" thickBot="1" x14ac:dyDescent="0.25">
      <c r="A1" s="287"/>
      <c r="B1" s="532" t="s">
        <v>1946</v>
      </c>
      <c r="C1" s="532"/>
      <c r="D1" s="532"/>
      <c r="E1" s="532"/>
      <c r="F1" s="532"/>
      <c r="G1" s="532"/>
      <c r="H1" s="533"/>
    </row>
    <row r="2" spans="1:13" ht="25.5" hidden="1" customHeight="1" x14ac:dyDescent="0.2">
      <c r="A2" s="306" t="s">
        <v>183</v>
      </c>
      <c r="B2" s="306" t="s">
        <v>1928</v>
      </c>
      <c r="C2" s="306" t="s">
        <v>1</v>
      </c>
      <c r="D2" s="306" t="s">
        <v>1929</v>
      </c>
      <c r="E2" s="306" t="s">
        <v>1930</v>
      </c>
      <c r="F2" s="306"/>
      <c r="G2" s="306"/>
      <c r="H2" s="306" t="s">
        <v>1931</v>
      </c>
      <c r="K2">
        <v>1113</v>
      </c>
      <c r="L2">
        <f>+K2*0.95</f>
        <v>1057.3499999999999</v>
      </c>
    </row>
    <row r="3" spans="1:13" ht="12.75" hidden="1" customHeight="1" x14ac:dyDescent="0.2">
      <c r="A3" s="307">
        <v>1</v>
      </c>
      <c r="B3" s="310" t="s">
        <v>185</v>
      </c>
      <c r="C3" s="307" t="s">
        <v>14</v>
      </c>
      <c r="D3" s="308">
        <f>+K4</f>
        <v>33474</v>
      </c>
      <c r="E3" s="309">
        <v>0.83848800000000012</v>
      </c>
      <c r="F3" s="309"/>
      <c r="G3" s="309"/>
      <c r="H3" s="309">
        <f>+E3*D3</f>
        <v>28067.547312000002</v>
      </c>
    </row>
    <row r="4" spans="1:13" ht="12.75" hidden="1" customHeight="1" x14ac:dyDescent="0.2">
      <c r="A4" s="307">
        <v>2</v>
      </c>
      <c r="B4" s="310" t="s">
        <v>186</v>
      </c>
      <c r="C4" s="290" t="s">
        <v>9</v>
      </c>
      <c r="D4" s="291">
        <f>+D3*0.4</f>
        <v>13389.6</v>
      </c>
      <c r="E4" s="309">
        <v>23.760956549333326</v>
      </c>
      <c r="F4" s="309"/>
      <c r="G4" s="309"/>
      <c r="H4" s="309">
        <f>+D4*E4</f>
        <v>318149.70381295349</v>
      </c>
      <c r="K4">
        <v>33474</v>
      </c>
      <c r="L4">
        <f>+K4*0.03</f>
        <v>1004.2199999999999</v>
      </c>
      <c r="M4">
        <v>24.5</v>
      </c>
    </row>
    <row r="5" spans="1:13" ht="12.75" hidden="1" customHeight="1" x14ac:dyDescent="0.2">
      <c r="A5" s="307">
        <v>3</v>
      </c>
      <c r="B5" s="310" t="s">
        <v>231</v>
      </c>
      <c r="C5" s="290" t="s">
        <v>14</v>
      </c>
      <c r="D5" s="291">
        <f>+D3</f>
        <v>33474</v>
      </c>
      <c r="E5" s="309">
        <v>10.668551181999996</v>
      </c>
      <c r="F5" s="309"/>
      <c r="G5" s="309"/>
      <c r="H5" s="309">
        <f t="shared" ref="H5:H12" si="0">+D5*E5</f>
        <v>357119.08226626785</v>
      </c>
    </row>
    <row r="6" spans="1:13" ht="12.75" hidden="1" customHeight="1" x14ac:dyDescent="0.2">
      <c r="A6" s="307">
        <v>4</v>
      </c>
      <c r="B6" s="310" t="e">
        <f>+#REF!</f>
        <v>#REF!</v>
      </c>
      <c r="C6" s="290" t="s">
        <v>9</v>
      </c>
      <c r="D6" s="291">
        <f>+D3*0.2</f>
        <v>6694.8</v>
      </c>
      <c r="E6" s="309" t="e">
        <f>+#REF!</f>
        <v>#REF!</v>
      </c>
      <c r="F6" s="309"/>
      <c r="G6" s="309"/>
      <c r="H6" s="309" t="e">
        <f t="shared" si="0"/>
        <v>#REF!</v>
      </c>
    </row>
    <row r="7" spans="1:13" ht="25.5" hidden="1" customHeight="1" x14ac:dyDescent="0.2">
      <c r="A7" s="307">
        <v>5</v>
      </c>
      <c r="B7" s="310" t="e">
        <f>+#REF!</f>
        <v>#REF!</v>
      </c>
      <c r="C7" s="290" t="s">
        <v>14</v>
      </c>
      <c r="D7" s="291">
        <f>+K4-L4</f>
        <v>32469.78</v>
      </c>
      <c r="E7" s="309" t="e">
        <f>+#REF!</f>
        <v>#REF!</v>
      </c>
      <c r="F7" s="309"/>
      <c r="G7" s="309"/>
      <c r="H7" s="309" t="e">
        <f t="shared" si="0"/>
        <v>#REF!</v>
      </c>
    </row>
    <row r="8" spans="1:13" ht="12.75" hidden="1" customHeight="1" x14ac:dyDescent="0.2">
      <c r="A8" s="307">
        <v>6</v>
      </c>
      <c r="B8" s="310" t="s">
        <v>200</v>
      </c>
      <c r="C8" s="290" t="s">
        <v>224</v>
      </c>
      <c r="D8" s="291">
        <v>400</v>
      </c>
      <c r="E8" s="309">
        <v>447.43063999999998</v>
      </c>
      <c r="F8" s="309"/>
      <c r="G8" s="309"/>
      <c r="H8" s="309">
        <f t="shared" si="0"/>
        <v>178972.25599999999</v>
      </c>
    </row>
    <row r="9" spans="1:13" ht="12.75" hidden="1" customHeight="1" x14ac:dyDescent="0.2">
      <c r="A9" s="307">
        <v>7</v>
      </c>
      <c r="B9" s="310" t="s">
        <v>201</v>
      </c>
      <c r="C9" s="290" t="s">
        <v>224</v>
      </c>
      <c r="D9" s="291">
        <v>200</v>
      </c>
      <c r="E9" s="309">
        <v>534.39463999999998</v>
      </c>
      <c r="F9" s="309"/>
      <c r="G9" s="309"/>
      <c r="H9" s="309">
        <f t="shared" si="0"/>
        <v>106878.928</v>
      </c>
    </row>
    <row r="10" spans="1:13" ht="24" hidden="1" customHeight="1" x14ac:dyDescent="0.2">
      <c r="A10" s="307">
        <v>9</v>
      </c>
      <c r="B10" s="310" t="e">
        <f>+#REF!</f>
        <v>#REF!</v>
      </c>
      <c r="C10" s="290" t="s">
        <v>14</v>
      </c>
      <c r="D10" s="291">
        <f>+L4</f>
        <v>1004.2199999999999</v>
      </c>
      <c r="E10" s="309" t="e">
        <f>+#REF!</f>
        <v>#REF!</v>
      </c>
      <c r="F10" s="309"/>
      <c r="G10" s="309"/>
      <c r="H10" s="309" t="e">
        <f t="shared" si="0"/>
        <v>#REF!</v>
      </c>
    </row>
    <row r="11" spans="1:13" ht="25.5" hidden="1" customHeight="1" x14ac:dyDescent="0.2">
      <c r="A11" s="307">
        <v>10</v>
      </c>
      <c r="B11" s="310" t="e">
        <f>+#REF!</f>
        <v>#REF!</v>
      </c>
      <c r="C11" s="290" t="s">
        <v>7</v>
      </c>
      <c r="D11" s="291">
        <f>+L2*2</f>
        <v>2114.6999999999998</v>
      </c>
      <c r="E11" s="309" t="e">
        <f>+#REF!</f>
        <v>#REF!</v>
      </c>
      <c r="F11" s="309"/>
      <c r="G11" s="309"/>
      <c r="H11" s="309" t="e">
        <f t="shared" si="0"/>
        <v>#REF!</v>
      </c>
    </row>
    <row r="12" spans="1:13" ht="12.75" hidden="1" customHeight="1" x14ac:dyDescent="0.2">
      <c r="A12" s="307">
        <v>11</v>
      </c>
      <c r="B12" s="310" t="s">
        <v>223</v>
      </c>
      <c r="C12" s="307" t="s">
        <v>1945</v>
      </c>
      <c r="D12" s="308">
        <f>+D3/10000</f>
        <v>3.3473999999999999</v>
      </c>
      <c r="E12" s="309">
        <v>6206.6863692147999</v>
      </c>
      <c r="F12" s="309"/>
      <c r="G12" s="309"/>
      <c r="H12" s="309">
        <f t="shared" si="0"/>
        <v>20776.261952309622</v>
      </c>
    </row>
    <row r="13" spans="1:13" ht="13.5" hidden="1" customHeight="1" thickBot="1" x14ac:dyDescent="0.25">
      <c r="A13" s="292"/>
      <c r="B13" s="292"/>
      <c r="C13" s="292"/>
      <c r="D13" s="292"/>
      <c r="E13" s="293"/>
      <c r="F13" s="293"/>
      <c r="G13" s="293"/>
      <c r="H13" s="293"/>
    </row>
    <row r="14" spans="1:13" ht="12.75" hidden="1" customHeight="1" x14ac:dyDescent="0.2">
      <c r="A14" s="294" t="s">
        <v>1932</v>
      </c>
      <c r="B14" s="295" t="s">
        <v>1933</v>
      </c>
      <c r="C14" s="296"/>
      <c r="D14" s="296"/>
      <c r="E14" s="296"/>
      <c r="F14" s="296"/>
      <c r="G14" s="296"/>
      <c r="H14" s="297" t="e">
        <f>SUM(H4:H13)</f>
        <v>#REF!</v>
      </c>
    </row>
    <row r="15" spans="1:13" ht="12.75" hidden="1" customHeight="1" x14ac:dyDescent="0.2">
      <c r="A15" s="298" t="s">
        <v>1934</v>
      </c>
      <c r="B15" s="299" t="s">
        <v>1935</v>
      </c>
      <c r="C15" s="288">
        <v>0.1</v>
      </c>
      <c r="D15" s="300" t="s">
        <v>1936</v>
      </c>
      <c r="E15" s="301"/>
      <c r="F15" s="288"/>
      <c r="G15" s="288"/>
      <c r="H15" s="289" t="e">
        <f>+H14*C15</f>
        <v>#REF!</v>
      </c>
    </row>
    <row r="16" spans="1:13" ht="12.75" hidden="1" customHeight="1" x14ac:dyDescent="0.2">
      <c r="A16" s="298" t="s">
        <v>1937</v>
      </c>
      <c r="B16" s="299" t="s">
        <v>1938</v>
      </c>
      <c r="C16" s="288">
        <v>0.1</v>
      </c>
      <c r="D16" s="300" t="s">
        <v>1936</v>
      </c>
      <c r="E16" s="301"/>
      <c r="F16" s="288"/>
      <c r="G16" s="288"/>
      <c r="H16" s="289" t="e">
        <f>+H14*C16</f>
        <v>#REF!</v>
      </c>
    </row>
    <row r="17" spans="1:8" ht="12.75" hidden="1" customHeight="1" x14ac:dyDescent="0.2">
      <c r="A17" s="298" t="s">
        <v>1939</v>
      </c>
      <c r="B17" s="299" t="s">
        <v>1940</v>
      </c>
      <c r="C17" s="288"/>
      <c r="D17" s="288"/>
      <c r="E17" s="301"/>
      <c r="F17" s="288"/>
      <c r="G17" s="288"/>
      <c r="H17" s="289" t="e">
        <f>+H16+H15+H14</f>
        <v>#REF!</v>
      </c>
    </row>
    <row r="18" spans="1:8" ht="13.5" hidden="1" customHeight="1" thickBot="1" x14ac:dyDescent="0.25">
      <c r="A18" s="298" t="s">
        <v>1941</v>
      </c>
      <c r="B18" s="299" t="s">
        <v>1942</v>
      </c>
      <c r="C18" s="288">
        <v>0.21</v>
      </c>
      <c r="D18" s="300" t="s">
        <v>1936</v>
      </c>
      <c r="E18" s="301"/>
      <c r="F18" s="288"/>
      <c r="G18" s="288"/>
      <c r="H18" s="289" t="e">
        <f>+H17*C18</f>
        <v>#REF!</v>
      </c>
    </row>
    <row r="19" spans="1:8" ht="13.5" hidden="1" customHeight="1" thickBot="1" x14ac:dyDescent="0.25">
      <c r="A19" s="302" t="s">
        <v>1943</v>
      </c>
      <c r="B19" s="303" t="s">
        <v>1944</v>
      </c>
      <c r="C19" s="304"/>
      <c r="D19" s="304"/>
      <c r="E19" s="304"/>
      <c r="F19" s="304"/>
      <c r="G19" s="304"/>
      <c r="H19" s="305" t="e">
        <f>+H18+H17</f>
        <v>#REF!</v>
      </c>
    </row>
    <row r="27" spans="1:8" x14ac:dyDescent="0.2">
      <c r="A27" s="534" t="s">
        <v>1947</v>
      </c>
      <c r="B27" s="534"/>
      <c r="C27" s="534"/>
      <c r="D27" s="534"/>
      <c r="E27" s="534"/>
      <c r="F27" s="534"/>
      <c r="G27" s="534"/>
      <c r="H27" s="534"/>
    </row>
    <row r="28" spans="1:8" ht="7.5" customHeight="1" x14ac:dyDescent="0.2"/>
    <row r="29" spans="1:8" x14ac:dyDescent="0.2">
      <c r="A29" s="534" t="s">
        <v>1948</v>
      </c>
      <c r="B29" s="534"/>
      <c r="C29" s="534"/>
      <c r="D29" s="534"/>
      <c r="E29" s="534"/>
      <c r="F29" s="534"/>
      <c r="G29" s="534"/>
      <c r="H29" s="534"/>
    </row>
    <row r="30" spans="1:8" ht="7.5" customHeight="1" x14ac:dyDescent="0.2"/>
    <row r="31" spans="1:8" x14ac:dyDescent="0.2">
      <c r="A31" s="534" t="s">
        <v>1971</v>
      </c>
      <c r="B31" s="534"/>
      <c r="C31" s="534"/>
      <c r="D31" s="534"/>
      <c r="E31" s="534"/>
      <c r="F31" s="534"/>
      <c r="G31" s="534"/>
      <c r="H31" s="534"/>
    </row>
    <row r="32" spans="1:8" x14ac:dyDescent="0.2">
      <c r="A32" s="311"/>
      <c r="B32" s="311"/>
      <c r="C32" s="311"/>
      <c r="D32" s="311"/>
      <c r="E32" s="311"/>
      <c r="F32" s="311"/>
      <c r="G32" s="311"/>
      <c r="H32" s="311"/>
    </row>
    <row r="33" spans="1:11" x14ac:dyDescent="0.2">
      <c r="A33" s="347" t="s">
        <v>1966</v>
      </c>
      <c r="B33" s="348" t="s">
        <v>1970</v>
      </c>
    </row>
    <row r="34" spans="1:11" ht="13.5" thickBot="1" x14ac:dyDescent="0.25">
      <c r="A34" s="286"/>
      <c r="B34" s="286"/>
      <c r="C34" s="286"/>
      <c r="D34" s="286"/>
      <c r="E34" s="286"/>
      <c r="F34" s="286"/>
      <c r="G34" s="286"/>
      <c r="H34" s="286"/>
    </row>
    <row r="35" spans="1:11" ht="13.5" thickBot="1" x14ac:dyDescent="0.25">
      <c r="A35" s="287"/>
      <c r="B35" s="532" t="s">
        <v>1973</v>
      </c>
      <c r="C35" s="532"/>
      <c r="D35" s="532"/>
      <c r="E35" s="532"/>
      <c r="F35" s="532"/>
      <c r="G35" s="532"/>
      <c r="H35" s="533"/>
    </row>
    <row r="36" spans="1:11" ht="26.25" thickBot="1" x14ac:dyDescent="0.25">
      <c r="A36" s="336" t="s">
        <v>183</v>
      </c>
      <c r="B36" s="337" t="s">
        <v>1928</v>
      </c>
      <c r="C36" s="338" t="s">
        <v>1</v>
      </c>
      <c r="D36" s="337" t="s">
        <v>1929</v>
      </c>
      <c r="E36" s="339" t="s">
        <v>1930</v>
      </c>
      <c r="F36" s="337" t="s">
        <v>1951</v>
      </c>
      <c r="G36" s="336" t="s">
        <v>1950</v>
      </c>
      <c r="H36" s="337" t="s">
        <v>1931</v>
      </c>
    </row>
    <row r="37" spans="1:11" hidden="1" x14ac:dyDescent="0.2">
      <c r="A37" s="328">
        <v>2</v>
      </c>
      <c r="B37" s="329" t="e">
        <f>+#REF!</f>
        <v>#REF!</v>
      </c>
      <c r="C37" s="330" t="s">
        <v>14</v>
      </c>
      <c r="D37" s="331">
        <v>0</v>
      </c>
      <c r="E37" s="332" t="e">
        <f>+#REF!</f>
        <v>#REF!</v>
      </c>
      <c r="F37" s="333"/>
      <c r="G37" s="334"/>
      <c r="H37" s="326" t="e">
        <f t="shared" ref="H37:H45" si="1">+E37*D37</f>
        <v>#REF!</v>
      </c>
    </row>
    <row r="38" spans="1:11" hidden="1" x14ac:dyDescent="0.2">
      <c r="A38" s="398">
        <v>2</v>
      </c>
      <c r="B38" s="381" t="e">
        <f>+#REF!</f>
        <v>#REF!</v>
      </c>
      <c r="C38" s="382" t="s">
        <v>14</v>
      </c>
      <c r="D38" s="383">
        <v>0</v>
      </c>
      <c r="E38" s="384" t="e">
        <f>+#REF!</f>
        <v>#REF!</v>
      </c>
      <c r="F38" s="385"/>
      <c r="G38" s="386"/>
      <c r="H38" s="375" t="e">
        <f t="shared" si="1"/>
        <v>#REF!</v>
      </c>
    </row>
    <row r="39" spans="1:11" x14ac:dyDescent="0.2">
      <c r="A39" s="399">
        <v>2</v>
      </c>
      <c r="B39" s="400" t="e">
        <f>+#REF!</f>
        <v>#REF!</v>
      </c>
      <c r="C39" s="401" t="s">
        <v>14</v>
      </c>
      <c r="D39" s="400">
        <v>1</v>
      </c>
      <c r="E39" s="402" t="e">
        <f>+#REF!</f>
        <v>#REF!</v>
      </c>
      <c r="F39" s="390">
        <v>0</v>
      </c>
      <c r="G39" s="403">
        <v>0</v>
      </c>
      <c r="H39" s="404" t="e">
        <f t="shared" si="1"/>
        <v>#REF!</v>
      </c>
      <c r="J39" s="1"/>
    </row>
    <row r="40" spans="1:11" x14ac:dyDescent="0.2">
      <c r="A40" s="314">
        <v>3</v>
      </c>
      <c r="B40" s="317" t="e">
        <f>+#REF!</f>
        <v>#REF!</v>
      </c>
      <c r="C40" s="320" t="s">
        <v>9</v>
      </c>
      <c r="D40" s="317">
        <v>0.33</v>
      </c>
      <c r="E40" s="322" t="e">
        <f>+#REF!</f>
        <v>#REF!</v>
      </c>
      <c r="F40" s="312">
        <v>0</v>
      </c>
      <c r="G40" s="324">
        <v>0</v>
      </c>
      <c r="H40" s="326" t="e">
        <f t="shared" si="1"/>
        <v>#REF!</v>
      </c>
      <c r="J40" s="374" t="e">
        <f>+E40*0.3</f>
        <v>#REF!</v>
      </c>
    </row>
    <row r="41" spans="1:11" x14ac:dyDescent="0.2">
      <c r="A41" s="314">
        <v>4</v>
      </c>
      <c r="B41" s="317" t="e">
        <f>+#REF!</f>
        <v>#REF!</v>
      </c>
      <c r="C41" s="320" t="s">
        <v>14</v>
      </c>
      <c r="D41" s="317">
        <v>1</v>
      </c>
      <c r="E41" s="322" t="e">
        <f>+#REF!</f>
        <v>#REF!</v>
      </c>
      <c r="F41" s="312">
        <v>0</v>
      </c>
      <c r="G41" s="324">
        <v>0</v>
      </c>
      <c r="H41" s="326" t="e">
        <f t="shared" si="1"/>
        <v>#REF!</v>
      </c>
      <c r="J41" s="374" t="e">
        <f>+E41</f>
        <v>#REF!</v>
      </c>
    </row>
    <row r="42" spans="1:11" x14ac:dyDescent="0.2">
      <c r="A42" s="314">
        <v>5</v>
      </c>
      <c r="B42" s="317" t="e">
        <f>+#REF!</f>
        <v>#REF!</v>
      </c>
      <c r="C42" s="320" t="s">
        <v>9</v>
      </c>
      <c r="D42" s="317">
        <v>0.2</v>
      </c>
      <c r="E42" s="322" t="e">
        <f>+#REF!</f>
        <v>#REF!</v>
      </c>
      <c r="F42" s="312">
        <v>0</v>
      </c>
      <c r="G42" s="324">
        <v>0</v>
      </c>
      <c r="H42" s="326" t="e">
        <f t="shared" si="1"/>
        <v>#REF!</v>
      </c>
      <c r="J42" s="374" t="e">
        <f>+E42*0.15</f>
        <v>#REF!</v>
      </c>
    </row>
    <row r="43" spans="1:11" x14ac:dyDescent="0.2">
      <c r="A43" s="314">
        <v>6</v>
      </c>
      <c r="B43" s="317" t="e">
        <f>+#REF!</f>
        <v>#REF!</v>
      </c>
      <c r="C43" s="320" t="s">
        <v>14</v>
      </c>
      <c r="D43" s="317">
        <v>1</v>
      </c>
      <c r="E43" s="322" t="e">
        <f>+#REF!</f>
        <v>#REF!</v>
      </c>
      <c r="F43" s="312"/>
      <c r="G43" s="324"/>
      <c r="H43" s="326" t="e">
        <f t="shared" si="1"/>
        <v>#REF!</v>
      </c>
      <c r="J43" s="374" t="e">
        <f>+E43*0.15</f>
        <v>#REF!</v>
      </c>
    </row>
    <row r="44" spans="1:11" hidden="1" x14ac:dyDescent="0.2">
      <c r="A44" s="314">
        <v>6</v>
      </c>
      <c r="B44" s="317" t="e">
        <f>+#REF!</f>
        <v>#REF!</v>
      </c>
      <c r="C44" s="320" t="s">
        <v>9</v>
      </c>
      <c r="D44" s="370">
        <v>0</v>
      </c>
      <c r="E44" s="371" t="e">
        <f>+#REF!</f>
        <v>#REF!</v>
      </c>
      <c r="F44" s="372"/>
      <c r="G44" s="373"/>
      <c r="H44" s="326" t="e">
        <f t="shared" si="1"/>
        <v>#REF!</v>
      </c>
      <c r="J44" s="374"/>
    </row>
    <row r="45" spans="1:11" ht="13.5" thickBot="1" x14ac:dyDescent="0.25">
      <c r="A45" s="315">
        <v>7</v>
      </c>
      <c r="B45" s="319" t="e">
        <f>+#REF!</f>
        <v>#REF!</v>
      </c>
      <c r="C45" s="321" t="s">
        <v>14</v>
      </c>
      <c r="D45" s="319">
        <v>0.18</v>
      </c>
      <c r="E45" s="323" t="e">
        <f>+#REF!</f>
        <v>#REF!</v>
      </c>
      <c r="F45" s="313"/>
      <c r="G45" s="325"/>
      <c r="H45" s="327" t="e">
        <f t="shared" si="1"/>
        <v>#REF!</v>
      </c>
      <c r="J45" s="374"/>
    </row>
    <row r="46" spans="1:11" ht="13.5" thickBot="1" x14ac:dyDescent="0.25">
      <c r="A46" s="292"/>
      <c r="B46" s="292"/>
      <c r="C46" s="292"/>
      <c r="D46" s="292"/>
      <c r="E46" s="293"/>
      <c r="F46" s="293"/>
      <c r="G46" s="293"/>
      <c r="H46" s="293"/>
      <c r="J46" t="e">
        <f>+#REF!+#REF!</f>
        <v>#REF!</v>
      </c>
    </row>
    <row r="47" spans="1:11" x14ac:dyDescent="0.2">
      <c r="A47" s="340" t="s">
        <v>1932</v>
      </c>
      <c r="B47" s="296" t="s">
        <v>1933</v>
      </c>
      <c r="C47" s="343"/>
      <c r="D47" s="296"/>
      <c r="E47" s="296"/>
      <c r="F47" s="296"/>
      <c r="G47" s="296"/>
      <c r="H47" s="369" t="e">
        <f>SUM(H37:H45)</f>
        <v>#REF!</v>
      </c>
    </row>
    <row r="48" spans="1:11" x14ac:dyDescent="0.2">
      <c r="A48" s="341" t="s">
        <v>1934</v>
      </c>
      <c r="B48" s="288" t="s">
        <v>1935</v>
      </c>
      <c r="C48" s="345">
        <v>0.1</v>
      </c>
      <c r="D48" s="300"/>
      <c r="E48" s="301"/>
      <c r="F48" s="288"/>
      <c r="G48" s="288"/>
      <c r="H48" s="316" t="e">
        <f>+H47*C48</f>
        <v>#REF!</v>
      </c>
      <c r="K48" s="80"/>
    </row>
    <row r="49" spans="1:11" x14ac:dyDescent="0.2">
      <c r="A49" s="341" t="s">
        <v>1937</v>
      </c>
      <c r="B49" s="288" t="s">
        <v>1938</v>
      </c>
      <c r="C49" s="345">
        <v>0.1</v>
      </c>
      <c r="D49" s="300"/>
      <c r="E49" s="301"/>
      <c r="F49" s="288"/>
      <c r="G49" s="288"/>
      <c r="H49" s="316" t="e">
        <f>+H47*C49</f>
        <v>#REF!</v>
      </c>
    </row>
    <row r="50" spans="1:11" x14ac:dyDescent="0.2">
      <c r="A50" s="341" t="s">
        <v>1939</v>
      </c>
      <c r="B50" s="288" t="s">
        <v>1940</v>
      </c>
      <c r="C50" s="344"/>
      <c r="D50" s="288"/>
      <c r="E50" s="301"/>
      <c r="F50" s="288"/>
      <c r="G50" s="288"/>
      <c r="H50" s="316" t="e">
        <f>+H49+H48+H47</f>
        <v>#REF!</v>
      </c>
    </row>
    <row r="51" spans="1:11" ht="13.5" thickBot="1" x14ac:dyDescent="0.25">
      <c r="A51" s="341" t="s">
        <v>1941</v>
      </c>
      <c r="B51" s="288" t="s">
        <v>1942</v>
      </c>
      <c r="C51" s="346">
        <v>0.21</v>
      </c>
      <c r="D51" s="300"/>
      <c r="E51" s="301"/>
      <c r="F51" s="288"/>
      <c r="G51" s="288"/>
      <c r="H51" s="316" t="e">
        <f>+H50*C51</f>
        <v>#REF!</v>
      </c>
    </row>
    <row r="52" spans="1:11" ht="13.5" thickBot="1" x14ac:dyDescent="0.25">
      <c r="A52" s="350" t="s">
        <v>1943</v>
      </c>
      <c r="B52" s="349" t="s">
        <v>1944</v>
      </c>
      <c r="C52" s="304"/>
      <c r="D52" s="304"/>
      <c r="E52" s="304"/>
      <c r="F52" s="304"/>
      <c r="G52" s="304"/>
      <c r="H52" s="342" t="e">
        <f>+H51+H50</f>
        <v>#REF!</v>
      </c>
    </row>
    <row r="54" spans="1:11" ht="13.5" thickBot="1" x14ac:dyDescent="0.25">
      <c r="K54" s="1"/>
    </row>
    <row r="55" spans="1:11" ht="13.5" thickBot="1" x14ac:dyDescent="0.25">
      <c r="H55" s="379">
        <v>832214.89928100258</v>
      </c>
    </row>
    <row r="57" spans="1:11" x14ac:dyDescent="0.2">
      <c r="C57">
        <f>100*10</f>
        <v>1000</v>
      </c>
    </row>
    <row r="58" spans="1:11" x14ac:dyDescent="0.2">
      <c r="C58">
        <f>20/C57</f>
        <v>0.02</v>
      </c>
    </row>
    <row r="59" spans="1:11" x14ac:dyDescent="0.2">
      <c r="C59">
        <v>1000</v>
      </c>
    </row>
    <row r="60" spans="1:11" x14ac:dyDescent="0.2">
      <c r="C60">
        <v>160</v>
      </c>
    </row>
    <row r="61" spans="1:11" x14ac:dyDescent="0.2">
      <c r="C61">
        <f>+C60/C59</f>
        <v>0.16</v>
      </c>
    </row>
  </sheetData>
  <mergeCells count="5">
    <mergeCell ref="B1:H1"/>
    <mergeCell ref="A27:H27"/>
    <mergeCell ref="A29:H29"/>
    <mergeCell ref="A31:H31"/>
    <mergeCell ref="B35:H35"/>
  </mergeCells>
  <printOptions horizontalCentered="1"/>
  <pageMargins left="0.48" right="0.51181102362204722" top="0.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5"/>
  <sheetViews>
    <sheetView topLeftCell="A20" workbookViewId="0">
      <selection activeCell="L35" sqref="L35"/>
    </sheetView>
  </sheetViews>
  <sheetFormatPr baseColWidth="10" defaultColWidth="9.140625" defaultRowHeight="12.75" x14ac:dyDescent="0.2"/>
  <cols>
    <col min="1" max="1" width="11.42578125" customWidth="1"/>
    <col min="2" max="2" width="58" customWidth="1"/>
    <col min="3" max="4" width="11.42578125" customWidth="1"/>
    <col min="5" max="5" width="11.7109375" bestFit="1" customWidth="1"/>
    <col min="6" max="7" width="11.7109375" hidden="1" customWidth="1"/>
    <col min="8" max="8" width="14.28515625" bestFit="1" customWidth="1"/>
    <col min="9" max="256" width="11.42578125" customWidth="1"/>
  </cols>
  <sheetData>
    <row r="1" spans="1:13" ht="13.5" hidden="1" customHeight="1" thickBot="1" x14ac:dyDescent="0.25">
      <c r="A1" s="287"/>
      <c r="B1" s="532" t="s">
        <v>1946</v>
      </c>
      <c r="C1" s="532"/>
      <c r="D1" s="532"/>
      <c r="E1" s="532"/>
      <c r="F1" s="532"/>
      <c r="G1" s="532"/>
      <c r="H1" s="533"/>
    </row>
    <row r="2" spans="1:13" ht="25.5" hidden="1" customHeight="1" x14ac:dyDescent="0.2">
      <c r="A2" s="306" t="s">
        <v>183</v>
      </c>
      <c r="B2" s="306" t="s">
        <v>1928</v>
      </c>
      <c r="C2" s="306" t="s">
        <v>1</v>
      </c>
      <c r="D2" s="306" t="s">
        <v>1929</v>
      </c>
      <c r="E2" s="306" t="s">
        <v>1930</v>
      </c>
      <c r="F2" s="306"/>
      <c r="G2" s="306"/>
      <c r="H2" s="306" t="s">
        <v>1931</v>
      </c>
      <c r="K2">
        <v>1113</v>
      </c>
      <c r="L2">
        <f>+K2*0.95</f>
        <v>1057.3499999999999</v>
      </c>
    </row>
    <row r="3" spans="1:13" ht="12.75" hidden="1" customHeight="1" x14ac:dyDescent="0.2">
      <c r="A3" s="307">
        <v>1</v>
      </c>
      <c r="B3" s="310" t="s">
        <v>185</v>
      </c>
      <c r="C3" s="307" t="s">
        <v>14</v>
      </c>
      <c r="D3" s="308">
        <f>+K4</f>
        <v>33474</v>
      </c>
      <c r="E3" s="309">
        <v>0.83848800000000012</v>
      </c>
      <c r="F3" s="309"/>
      <c r="G3" s="309"/>
      <c r="H3" s="309">
        <f>+E3*D3</f>
        <v>28067.547312000002</v>
      </c>
    </row>
    <row r="4" spans="1:13" ht="12.75" hidden="1" customHeight="1" x14ac:dyDescent="0.2">
      <c r="A4" s="307">
        <v>2</v>
      </c>
      <c r="B4" s="310" t="s">
        <v>186</v>
      </c>
      <c r="C4" s="290" t="s">
        <v>9</v>
      </c>
      <c r="D4" s="291">
        <f>+D3*0.4</f>
        <v>13389.6</v>
      </c>
      <c r="E4" s="309">
        <v>23.760956549333326</v>
      </c>
      <c r="F4" s="309"/>
      <c r="G4" s="309"/>
      <c r="H4" s="309">
        <f>+D4*E4</f>
        <v>318149.70381295349</v>
      </c>
      <c r="K4">
        <v>33474</v>
      </c>
      <c r="L4">
        <f>+K4*0.03</f>
        <v>1004.2199999999999</v>
      </c>
      <c r="M4">
        <v>24.5</v>
      </c>
    </row>
    <row r="5" spans="1:13" ht="12.75" hidden="1" customHeight="1" x14ac:dyDescent="0.2">
      <c r="A5" s="307">
        <v>3</v>
      </c>
      <c r="B5" s="310" t="s">
        <v>231</v>
      </c>
      <c r="C5" s="290" t="s">
        <v>14</v>
      </c>
      <c r="D5" s="291">
        <f>+D3</f>
        <v>33474</v>
      </c>
      <c r="E5" s="309">
        <v>10.668551181999996</v>
      </c>
      <c r="F5" s="309"/>
      <c r="G5" s="309"/>
      <c r="H5" s="309">
        <f t="shared" ref="H5:H12" si="0">+D5*E5</f>
        <v>357119.08226626785</v>
      </c>
    </row>
    <row r="6" spans="1:13" ht="12.75" hidden="1" customHeight="1" x14ac:dyDescent="0.2">
      <c r="A6" s="307">
        <v>4</v>
      </c>
      <c r="B6" s="310" t="e">
        <f>+#REF!</f>
        <v>#REF!</v>
      </c>
      <c r="C6" s="290" t="s">
        <v>9</v>
      </c>
      <c r="D6" s="291">
        <f>+D3*0.2</f>
        <v>6694.8</v>
      </c>
      <c r="E6" s="309" t="e">
        <f>+#REF!</f>
        <v>#REF!</v>
      </c>
      <c r="F6" s="309"/>
      <c r="G6" s="309"/>
      <c r="H6" s="309" t="e">
        <f t="shared" si="0"/>
        <v>#REF!</v>
      </c>
    </row>
    <row r="7" spans="1:13" ht="25.5" hidden="1" customHeight="1" x14ac:dyDescent="0.2">
      <c r="A7" s="307">
        <v>5</v>
      </c>
      <c r="B7" s="310" t="e">
        <f>+#REF!</f>
        <v>#REF!</v>
      </c>
      <c r="C7" s="290" t="s">
        <v>14</v>
      </c>
      <c r="D7" s="291">
        <f>+K4-L4</f>
        <v>32469.78</v>
      </c>
      <c r="E7" s="309" t="e">
        <f>+#REF!</f>
        <v>#REF!</v>
      </c>
      <c r="F7" s="309"/>
      <c r="G7" s="309"/>
      <c r="H7" s="309" t="e">
        <f t="shared" si="0"/>
        <v>#REF!</v>
      </c>
    </row>
    <row r="8" spans="1:13" ht="12.75" hidden="1" customHeight="1" x14ac:dyDescent="0.2">
      <c r="A8" s="307">
        <v>6</v>
      </c>
      <c r="B8" s="310" t="s">
        <v>200</v>
      </c>
      <c r="C8" s="290" t="s">
        <v>224</v>
      </c>
      <c r="D8" s="291">
        <v>400</v>
      </c>
      <c r="E8" s="309">
        <v>447.43063999999998</v>
      </c>
      <c r="F8" s="309"/>
      <c r="G8" s="309"/>
      <c r="H8" s="309">
        <f t="shared" si="0"/>
        <v>178972.25599999999</v>
      </c>
    </row>
    <row r="9" spans="1:13" ht="12.75" hidden="1" customHeight="1" x14ac:dyDescent="0.2">
      <c r="A9" s="307">
        <v>7</v>
      </c>
      <c r="B9" s="310" t="s">
        <v>201</v>
      </c>
      <c r="C9" s="290" t="s">
        <v>224</v>
      </c>
      <c r="D9" s="291">
        <v>200</v>
      </c>
      <c r="E9" s="309">
        <v>534.39463999999998</v>
      </c>
      <c r="F9" s="309"/>
      <c r="G9" s="309"/>
      <c r="H9" s="309">
        <f t="shared" si="0"/>
        <v>106878.928</v>
      </c>
    </row>
    <row r="10" spans="1:13" ht="24" hidden="1" customHeight="1" x14ac:dyDescent="0.2">
      <c r="A10" s="307">
        <v>9</v>
      </c>
      <c r="B10" s="310" t="e">
        <f>+#REF!</f>
        <v>#REF!</v>
      </c>
      <c r="C10" s="290" t="s">
        <v>14</v>
      </c>
      <c r="D10" s="291">
        <f>+L4</f>
        <v>1004.2199999999999</v>
      </c>
      <c r="E10" s="309" t="e">
        <f>+#REF!</f>
        <v>#REF!</v>
      </c>
      <c r="F10" s="309"/>
      <c r="G10" s="309"/>
      <c r="H10" s="309" t="e">
        <f t="shared" si="0"/>
        <v>#REF!</v>
      </c>
    </row>
    <row r="11" spans="1:13" ht="25.5" hidden="1" customHeight="1" x14ac:dyDescent="0.2">
      <c r="A11" s="307">
        <v>10</v>
      </c>
      <c r="B11" s="310" t="e">
        <f>+#REF!</f>
        <v>#REF!</v>
      </c>
      <c r="C11" s="290" t="s">
        <v>7</v>
      </c>
      <c r="D11" s="291">
        <f>+L2*2</f>
        <v>2114.6999999999998</v>
      </c>
      <c r="E11" s="309" t="e">
        <f>+#REF!</f>
        <v>#REF!</v>
      </c>
      <c r="F11" s="309"/>
      <c r="G11" s="309"/>
      <c r="H11" s="309" t="e">
        <f t="shared" si="0"/>
        <v>#REF!</v>
      </c>
    </row>
    <row r="12" spans="1:13" ht="12.75" hidden="1" customHeight="1" x14ac:dyDescent="0.2">
      <c r="A12" s="307">
        <v>11</v>
      </c>
      <c r="B12" s="310" t="s">
        <v>223</v>
      </c>
      <c r="C12" s="307" t="s">
        <v>1945</v>
      </c>
      <c r="D12" s="308">
        <f>+D3/10000</f>
        <v>3.3473999999999999</v>
      </c>
      <c r="E12" s="309">
        <v>6206.6863692147999</v>
      </c>
      <c r="F12" s="309"/>
      <c r="G12" s="309"/>
      <c r="H12" s="309">
        <f t="shared" si="0"/>
        <v>20776.261952309622</v>
      </c>
    </row>
    <row r="13" spans="1:13" ht="13.5" hidden="1" customHeight="1" thickBot="1" x14ac:dyDescent="0.25">
      <c r="A13" s="292"/>
      <c r="B13" s="292"/>
      <c r="C13" s="292"/>
      <c r="D13" s="292"/>
      <c r="E13" s="293"/>
      <c r="F13" s="293"/>
      <c r="G13" s="293"/>
      <c r="H13" s="293"/>
    </row>
    <row r="14" spans="1:13" ht="12.75" hidden="1" customHeight="1" x14ac:dyDescent="0.2">
      <c r="A14" s="294" t="s">
        <v>1932</v>
      </c>
      <c r="B14" s="295" t="s">
        <v>1933</v>
      </c>
      <c r="C14" s="296"/>
      <c r="D14" s="296"/>
      <c r="E14" s="296"/>
      <c r="F14" s="296"/>
      <c r="G14" s="296"/>
      <c r="H14" s="297" t="e">
        <f>SUM(H4:H13)</f>
        <v>#REF!</v>
      </c>
    </row>
    <row r="15" spans="1:13" ht="12.75" hidden="1" customHeight="1" x14ac:dyDescent="0.2">
      <c r="A15" s="298" t="s">
        <v>1934</v>
      </c>
      <c r="B15" s="299" t="s">
        <v>1935</v>
      </c>
      <c r="C15" s="288">
        <v>0.1</v>
      </c>
      <c r="D15" s="300" t="s">
        <v>1936</v>
      </c>
      <c r="E15" s="301"/>
      <c r="F15" s="288"/>
      <c r="G15" s="288"/>
      <c r="H15" s="289" t="e">
        <f>+H14*C15</f>
        <v>#REF!</v>
      </c>
    </row>
    <row r="16" spans="1:13" ht="12.75" hidden="1" customHeight="1" x14ac:dyDescent="0.2">
      <c r="A16" s="298" t="s">
        <v>1937</v>
      </c>
      <c r="B16" s="299" t="s">
        <v>1938</v>
      </c>
      <c r="C16" s="288">
        <v>0.1</v>
      </c>
      <c r="D16" s="300" t="s">
        <v>1936</v>
      </c>
      <c r="E16" s="301"/>
      <c r="F16" s="288"/>
      <c r="G16" s="288"/>
      <c r="H16" s="289" t="e">
        <f>+H14*C16</f>
        <v>#REF!</v>
      </c>
    </row>
    <row r="17" spans="1:8" ht="12.75" hidden="1" customHeight="1" x14ac:dyDescent="0.2">
      <c r="A17" s="298" t="s">
        <v>1939</v>
      </c>
      <c r="B17" s="299" t="s">
        <v>1940</v>
      </c>
      <c r="C17" s="288"/>
      <c r="D17" s="288"/>
      <c r="E17" s="301"/>
      <c r="F17" s="288"/>
      <c r="G17" s="288"/>
      <c r="H17" s="289" t="e">
        <f>+H16+H15+H14</f>
        <v>#REF!</v>
      </c>
    </row>
    <row r="18" spans="1:8" ht="13.5" hidden="1" customHeight="1" thickBot="1" x14ac:dyDescent="0.25">
      <c r="A18" s="298" t="s">
        <v>1941</v>
      </c>
      <c r="B18" s="299" t="s">
        <v>1942</v>
      </c>
      <c r="C18" s="288">
        <v>0.21</v>
      </c>
      <c r="D18" s="300" t="s">
        <v>1936</v>
      </c>
      <c r="E18" s="301"/>
      <c r="F18" s="288"/>
      <c r="G18" s="288"/>
      <c r="H18" s="289" t="e">
        <f>+H17*C18</f>
        <v>#REF!</v>
      </c>
    </row>
    <row r="19" spans="1:8" ht="13.5" hidden="1" customHeight="1" thickBot="1" x14ac:dyDescent="0.25">
      <c r="A19" s="302" t="s">
        <v>1943</v>
      </c>
      <c r="B19" s="303" t="s">
        <v>1944</v>
      </c>
      <c r="C19" s="304"/>
      <c r="D19" s="304"/>
      <c r="E19" s="304"/>
      <c r="F19" s="304"/>
      <c r="G19" s="304"/>
      <c r="H19" s="305" t="e">
        <f>+H18+H17</f>
        <v>#REF!</v>
      </c>
    </row>
    <row r="27" spans="1:8" x14ac:dyDescent="0.2">
      <c r="A27" s="534" t="s">
        <v>1947</v>
      </c>
      <c r="B27" s="534"/>
      <c r="C27" s="534"/>
      <c r="D27" s="534"/>
      <c r="E27" s="534"/>
      <c r="F27" s="534"/>
      <c r="G27" s="534"/>
      <c r="H27" s="534"/>
    </row>
    <row r="28" spans="1:8" ht="7.5" customHeight="1" x14ac:dyDescent="0.2"/>
    <row r="29" spans="1:8" x14ac:dyDescent="0.2">
      <c r="A29" s="534" t="s">
        <v>1948</v>
      </c>
      <c r="B29" s="534"/>
      <c r="C29" s="534"/>
      <c r="D29" s="534"/>
      <c r="E29" s="534"/>
      <c r="F29" s="534"/>
      <c r="G29" s="534"/>
      <c r="H29" s="534"/>
    </row>
    <row r="30" spans="1:8" ht="7.5" customHeight="1" x14ac:dyDescent="0.2"/>
    <row r="31" spans="1:8" x14ac:dyDescent="0.2">
      <c r="A31" s="534" t="s">
        <v>1968</v>
      </c>
      <c r="B31" s="534"/>
      <c r="C31" s="534"/>
      <c r="D31" s="534"/>
      <c r="E31" s="534"/>
      <c r="F31" s="534"/>
      <c r="G31" s="534"/>
      <c r="H31" s="534"/>
    </row>
    <row r="32" spans="1:8" x14ac:dyDescent="0.2">
      <c r="A32" s="311"/>
      <c r="B32" s="311"/>
      <c r="C32" s="311"/>
      <c r="D32" s="311"/>
      <c r="E32" s="311"/>
      <c r="F32" s="311"/>
      <c r="G32" s="311"/>
      <c r="H32" s="311"/>
    </row>
    <row r="33" spans="1:10" x14ac:dyDescent="0.2">
      <c r="A33" s="347" t="s">
        <v>1966</v>
      </c>
      <c r="B33" s="348" t="s">
        <v>1967</v>
      </c>
    </row>
    <row r="34" spans="1:10" ht="13.5" thickBot="1" x14ac:dyDescent="0.25">
      <c r="A34" s="286"/>
      <c r="B34" s="286"/>
      <c r="C34" s="286"/>
      <c r="D34" s="286"/>
      <c r="E34" s="286"/>
      <c r="F34" s="286"/>
      <c r="G34" s="286"/>
      <c r="H34" s="286"/>
    </row>
    <row r="35" spans="1:10" ht="13.5" thickBot="1" x14ac:dyDescent="0.25">
      <c r="A35" s="287"/>
      <c r="B35" s="532" t="s">
        <v>1965</v>
      </c>
      <c r="C35" s="532"/>
      <c r="D35" s="532"/>
      <c r="E35" s="532"/>
      <c r="F35" s="532"/>
      <c r="G35" s="532"/>
      <c r="H35" s="533"/>
    </row>
    <row r="36" spans="1:10" ht="26.25" thickBot="1" x14ac:dyDescent="0.25">
      <c r="A36" s="336" t="s">
        <v>183</v>
      </c>
      <c r="B36" s="337" t="s">
        <v>1928</v>
      </c>
      <c r="C36" s="338" t="s">
        <v>1</v>
      </c>
      <c r="D36" s="337" t="s">
        <v>1929</v>
      </c>
      <c r="E36" s="339" t="s">
        <v>1930</v>
      </c>
      <c r="F36" s="337" t="s">
        <v>1951</v>
      </c>
      <c r="G36" s="336" t="s">
        <v>1950</v>
      </c>
      <c r="H36" s="337" t="s">
        <v>1931</v>
      </c>
    </row>
    <row r="37" spans="1:10" x14ac:dyDescent="0.2">
      <c r="A37" s="328">
        <v>1</v>
      </c>
      <c r="B37" s="329" t="s">
        <v>1949</v>
      </c>
      <c r="C37" s="330" t="s">
        <v>11</v>
      </c>
      <c r="D37" s="331">
        <v>1</v>
      </c>
      <c r="E37" s="332">
        <v>3000</v>
      </c>
      <c r="F37" s="333">
        <v>0</v>
      </c>
      <c r="G37" s="334">
        <v>0</v>
      </c>
      <c r="H37" s="335">
        <f>+E37*D37</f>
        <v>3000</v>
      </c>
    </row>
    <row r="38" spans="1:10" x14ac:dyDescent="0.2">
      <c r="A38" s="314">
        <v>2</v>
      </c>
      <c r="B38" s="317" t="e">
        <f>+#REF!</f>
        <v>#REF!</v>
      </c>
      <c r="C38" s="320" t="s">
        <v>14</v>
      </c>
      <c r="D38" s="317">
        <f>+D43</f>
        <v>6170</v>
      </c>
      <c r="E38" s="322" t="e">
        <f>+#REF!*0.5</f>
        <v>#REF!</v>
      </c>
      <c r="F38" s="312">
        <v>0</v>
      </c>
      <c r="G38" s="324">
        <v>0</v>
      </c>
      <c r="H38" s="326" t="e">
        <f t="shared" ref="H38:H44" si="1">+E38*D38</f>
        <v>#REF!</v>
      </c>
    </row>
    <row r="39" spans="1:10" x14ac:dyDescent="0.2">
      <c r="A39" s="314">
        <v>3</v>
      </c>
      <c r="B39" s="317" t="e">
        <f>+#REF!</f>
        <v>#REF!</v>
      </c>
      <c r="C39" s="320" t="s">
        <v>9</v>
      </c>
      <c r="D39" s="317">
        <f>+(0.1+0.15)*D43</f>
        <v>1542.5</v>
      </c>
      <c r="E39" s="322" t="e">
        <f>+#REF!</f>
        <v>#REF!</v>
      </c>
      <c r="F39" s="312">
        <v>0</v>
      </c>
      <c r="G39" s="324">
        <v>0</v>
      </c>
      <c r="H39" s="326" t="e">
        <f t="shared" si="1"/>
        <v>#REF!</v>
      </c>
    </row>
    <row r="40" spans="1:10" x14ac:dyDescent="0.2">
      <c r="A40" s="314">
        <v>4</v>
      </c>
      <c r="B40" s="317" t="e">
        <f>+#REF!</f>
        <v>#REF!</v>
      </c>
      <c r="C40" s="320" t="s">
        <v>14</v>
      </c>
      <c r="D40" s="317">
        <f>+D43</f>
        <v>6170</v>
      </c>
      <c r="E40" s="322" t="e">
        <f>+#REF!</f>
        <v>#REF!</v>
      </c>
      <c r="F40" s="312">
        <v>0</v>
      </c>
      <c r="G40" s="324">
        <v>0</v>
      </c>
      <c r="H40" s="326" t="e">
        <f t="shared" si="1"/>
        <v>#REF!</v>
      </c>
    </row>
    <row r="41" spans="1:10" x14ac:dyDescent="0.2">
      <c r="A41" s="314">
        <v>5</v>
      </c>
      <c r="B41" s="317" t="e">
        <f>+#REF!</f>
        <v>#REF!</v>
      </c>
      <c r="C41" s="320" t="s">
        <v>9</v>
      </c>
      <c r="D41" s="317">
        <f>+D43*0.15</f>
        <v>925.5</v>
      </c>
      <c r="E41" s="322" t="e">
        <f>+#REF!</f>
        <v>#REF!</v>
      </c>
      <c r="F41" s="312">
        <v>0</v>
      </c>
      <c r="G41" s="324">
        <v>0</v>
      </c>
      <c r="H41" s="326" t="e">
        <f t="shared" si="1"/>
        <v>#REF!</v>
      </c>
    </row>
    <row r="42" spans="1:10" x14ac:dyDescent="0.2">
      <c r="A42" s="314">
        <v>6</v>
      </c>
      <c r="B42" s="317" t="e">
        <f>+#REF!</f>
        <v>#REF!</v>
      </c>
      <c r="C42" s="320" t="s">
        <v>281</v>
      </c>
      <c r="D42" s="317">
        <v>950</v>
      </c>
      <c r="E42" s="322" t="e">
        <f>+#REF!</f>
        <v>#REF!</v>
      </c>
      <c r="F42" s="312"/>
      <c r="G42" s="324"/>
      <c r="H42" s="326" t="e">
        <f t="shared" si="1"/>
        <v>#REF!</v>
      </c>
    </row>
    <row r="43" spans="1:10" ht="13.5" customHeight="1" x14ac:dyDescent="0.2">
      <c r="A43" s="314">
        <v>7</v>
      </c>
      <c r="B43" s="318" t="e">
        <f>+#REF!</f>
        <v>#REF!</v>
      </c>
      <c r="C43" s="320" t="s">
        <v>14</v>
      </c>
      <c r="D43" s="317">
        <v>6170</v>
      </c>
      <c r="E43" s="322" t="e">
        <f>+#REF!</f>
        <v>#REF!</v>
      </c>
      <c r="F43" s="312">
        <v>0</v>
      </c>
      <c r="G43" s="324">
        <v>0</v>
      </c>
      <c r="H43" s="326" t="e">
        <f t="shared" si="1"/>
        <v>#REF!</v>
      </c>
    </row>
    <row r="44" spans="1:10" hidden="1" x14ac:dyDescent="0.2">
      <c r="A44" s="314">
        <v>8</v>
      </c>
      <c r="B44" s="317" t="e">
        <f>+#REF!</f>
        <v>#REF!</v>
      </c>
      <c r="C44" s="320" t="s">
        <v>1964</v>
      </c>
      <c r="D44" s="317">
        <v>0</v>
      </c>
      <c r="E44" s="322" t="e">
        <f>+#REF!</f>
        <v>#REF!</v>
      </c>
      <c r="F44" s="312">
        <v>0</v>
      </c>
      <c r="G44" s="324">
        <v>0</v>
      </c>
      <c r="H44" s="326" t="e">
        <f t="shared" si="1"/>
        <v>#REF!</v>
      </c>
    </row>
    <row r="45" spans="1:10" hidden="1" x14ac:dyDescent="0.2">
      <c r="A45" s="314">
        <v>9</v>
      </c>
      <c r="B45" s="317" t="e">
        <f>+#REF!</f>
        <v>#REF!</v>
      </c>
      <c r="C45" s="320" t="s">
        <v>8</v>
      </c>
      <c r="D45" s="317">
        <v>0</v>
      </c>
      <c r="E45" s="322" t="e">
        <f>+#REF!</f>
        <v>#REF!</v>
      </c>
      <c r="F45" s="312">
        <v>0</v>
      </c>
      <c r="G45" s="324">
        <v>0</v>
      </c>
      <c r="H45" s="326" t="e">
        <f>+E45*D45</f>
        <v>#REF!</v>
      </c>
    </row>
    <row r="46" spans="1:10" ht="13.5" thickBot="1" x14ac:dyDescent="0.25">
      <c r="A46" s="315">
        <v>8</v>
      </c>
      <c r="B46" s="319" t="e">
        <f>+#REF!</f>
        <v>#REF!</v>
      </c>
      <c r="C46" s="321" t="s">
        <v>1945</v>
      </c>
      <c r="D46" s="319">
        <f>+D43/10000</f>
        <v>0.61699999999999999</v>
      </c>
      <c r="E46" s="323" t="e">
        <f>+#REF!</f>
        <v>#REF!</v>
      </c>
      <c r="F46" s="313">
        <v>0</v>
      </c>
      <c r="G46" s="325">
        <v>0</v>
      </c>
      <c r="H46" s="327" t="e">
        <f>+E46*D46</f>
        <v>#REF!</v>
      </c>
    </row>
    <row r="47" spans="1:10" ht="13.5" thickBot="1" x14ac:dyDescent="0.25">
      <c r="A47" s="292"/>
      <c r="B47" s="292"/>
      <c r="C47" s="292"/>
      <c r="D47" s="292"/>
      <c r="E47" s="293"/>
      <c r="F47" s="293"/>
      <c r="G47" s="293"/>
      <c r="H47" s="293"/>
    </row>
    <row r="48" spans="1:10" x14ac:dyDescent="0.2">
      <c r="A48" s="340" t="s">
        <v>1932</v>
      </c>
      <c r="B48" s="296" t="s">
        <v>1933</v>
      </c>
      <c r="C48" s="343"/>
      <c r="D48" s="296"/>
      <c r="E48" s="296"/>
      <c r="F48" s="296"/>
      <c r="G48" s="296"/>
      <c r="H48" s="369" t="e">
        <f>SUM(H37:H46)</f>
        <v>#REF!</v>
      </c>
      <c r="J48" t="e">
        <f>+H48/D43</f>
        <v>#REF!</v>
      </c>
    </row>
    <row r="49" spans="1:11" x14ac:dyDescent="0.2">
      <c r="A49" s="341" t="s">
        <v>1934</v>
      </c>
      <c r="B49" s="288" t="s">
        <v>1935</v>
      </c>
      <c r="C49" s="345">
        <v>0.1</v>
      </c>
      <c r="D49" s="300"/>
      <c r="E49" s="301"/>
      <c r="F49" s="288"/>
      <c r="G49" s="288"/>
      <c r="H49" s="316" t="e">
        <f>+H48*C49</f>
        <v>#REF!</v>
      </c>
      <c r="K49" s="80"/>
    </row>
    <row r="50" spans="1:11" x14ac:dyDescent="0.2">
      <c r="A50" s="341" t="s">
        <v>1937</v>
      </c>
      <c r="B50" s="288" t="s">
        <v>1938</v>
      </c>
      <c r="C50" s="345">
        <v>0.1</v>
      </c>
      <c r="D50" s="300"/>
      <c r="E50" s="301"/>
      <c r="F50" s="288"/>
      <c r="G50" s="288"/>
      <c r="H50" s="316" t="e">
        <f>+H48*C50</f>
        <v>#REF!</v>
      </c>
    </row>
    <row r="51" spans="1:11" x14ac:dyDescent="0.2">
      <c r="A51" s="341" t="s">
        <v>1939</v>
      </c>
      <c r="B51" s="288" t="s">
        <v>1940</v>
      </c>
      <c r="C51" s="344"/>
      <c r="D51" s="288"/>
      <c r="E51" s="301"/>
      <c r="F51" s="288"/>
      <c r="G51" s="288"/>
      <c r="H51" s="316" t="e">
        <f>+H50+H49+H48</f>
        <v>#REF!</v>
      </c>
    </row>
    <row r="52" spans="1:11" ht="13.5" thickBot="1" x14ac:dyDescent="0.25">
      <c r="A52" s="341" t="s">
        <v>1941</v>
      </c>
      <c r="B52" s="288" t="s">
        <v>1942</v>
      </c>
      <c r="C52" s="346">
        <v>0.21</v>
      </c>
      <c r="D52" s="300"/>
      <c r="E52" s="301"/>
      <c r="F52" s="288"/>
      <c r="G52" s="288"/>
      <c r="H52" s="316" t="e">
        <f>+H51*C52</f>
        <v>#REF!</v>
      </c>
    </row>
    <row r="53" spans="1:11" ht="13.5" thickBot="1" x14ac:dyDescent="0.25">
      <c r="A53" s="350" t="s">
        <v>1943</v>
      </c>
      <c r="B53" s="349" t="s">
        <v>1944</v>
      </c>
      <c r="C53" s="304"/>
      <c r="D53" s="304"/>
      <c r="E53" s="304"/>
      <c r="F53" s="304"/>
      <c r="G53" s="304"/>
      <c r="H53" s="342" t="e">
        <f>+H52+H51</f>
        <v>#REF!</v>
      </c>
    </row>
    <row r="55" spans="1:11" x14ac:dyDescent="0.2">
      <c r="K55" s="1"/>
    </row>
  </sheetData>
  <mergeCells count="5">
    <mergeCell ref="B1:H1"/>
    <mergeCell ref="A27:H27"/>
    <mergeCell ref="A29:H29"/>
    <mergeCell ref="A31:H31"/>
    <mergeCell ref="B35:H35"/>
  </mergeCells>
  <printOptions horizontalCentered="1"/>
  <pageMargins left="0.48" right="0.51181102362204722" top="0.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856" transitionEvaluation="1" transitionEntry="1">
    <tabColor indexed="17"/>
  </sheetPr>
  <dimension ref="A1:Q880"/>
  <sheetViews>
    <sheetView showGridLines="0" topLeftCell="A856" zoomScale="84" zoomScaleNormal="84" workbookViewId="0">
      <selection activeCell="R881" sqref="R881"/>
    </sheetView>
  </sheetViews>
  <sheetFormatPr baseColWidth="10" defaultColWidth="12.5703125" defaultRowHeight="15" x14ac:dyDescent="0.2"/>
  <cols>
    <col min="1" max="1" width="12.140625" style="119" customWidth="1"/>
    <col min="2" max="2" width="48.140625" style="117" customWidth="1"/>
    <col min="3" max="3" width="7.42578125" style="117" customWidth="1"/>
    <col min="4" max="4" width="18.85546875" style="352" customWidth="1"/>
    <col min="5" max="5" width="15.140625" style="121" hidden="1" customWidth="1"/>
    <col min="6" max="6" width="26.140625" style="263" hidden="1" customWidth="1"/>
    <col min="7" max="7" width="15" style="123" hidden="1" customWidth="1"/>
    <col min="8" max="8" width="15.140625" style="117" hidden="1" customWidth="1"/>
    <col min="9" max="9" width="24.5703125" style="117" hidden="1" customWidth="1"/>
    <col min="10" max="10" width="17.5703125" style="117" hidden="1" customWidth="1"/>
    <col min="11" max="11" width="24.85546875" style="117" hidden="1" customWidth="1"/>
    <col min="12" max="12" width="13.42578125" style="117" hidden="1" customWidth="1"/>
    <col min="13" max="13" width="6.7109375" style="117" hidden="1" customWidth="1"/>
    <col min="14" max="14" width="9.140625" style="117" hidden="1" customWidth="1"/>
    <col min="15" max="15" width="13.5703125" style="117" hidden="1" customWidth="1"/>
    <col min="16" max="16" width="17" style="117" customWidth="1"/>
    <col min="17" max="17" width="13.42578125" style="117" bestFit="1" customWidth="1"/>
    <col min="18" max="16384" width="12.5703125" style="117"/>
  </cols>
  <sheetData>
    <row r="1" spans="1:17" ht="31.35" customHeight="1" x14ac:dyDescent="0.2">
      <c r="A1" s="535" t="s">
        <v>244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7" ht="7.5" customHeight="1" x14ac:dyDescent="0.2">
      <c r="A2" s="536" t="s">
        <v>242</v>
      </c>
      <c r="B2" s="536"/>
      <c r="C2" s="536"/>
      <c r="D2" s="536"/>
      <c r="E2" s="536"/>
      <c r="F2" s="536"/>
      <c r="G2" s="536"/>
      <c r="I2" s="118" t="s">
        <v>245</v>
      </c>
    </row>
    <row r="3" spans="1:17" ht="15.75" x14ac:dyDescent="0.25">
      <c r="A3" s="119" t="s">
        <v>242</v>
      </c>
      <c r="C3" s="120" t="s">
        <v>246</v>
      </c>
      <c r="D3" s="351" t="s">
        <v>1969</v>
      </c>
      <c r="F3" s="122"/>
      <c r="G3" s="123" t="s">
        <v>242</v>
      </c>
      <c r="H3" s="124" t="s">
        <v>242</v>
      </c>
    </row>
    <row r="4" spans="1:17" ht="6.75" customHeight="1" thickBot="1" x14ac:dyDescent="0.25">
      <c r="E4" s="125" t="s">
        <v>242</v>
      </c>
      <c r="F4" s="122" t="s">
        <v>247</v>
      </c>
      <c r="G4" s="123" t="s">
        <v>242</v>
      </c>
    </row>
    <row r="5" spans="1:17" ht="26.45" customHeight="1" thickBot="1" x14ac:dyDescent="0.25">
      <c r="A5" s="126" t="s">
        <v>248</v>
      </c>
      <c r="B5" s="363" t="s">
        <v>249</v>
      </c>
      <c r="C5" s="363" t="s">
        <v>184</v>
      </c>
      <c r="D5" s="353" t="s">
        <v>250</v>
      </c>
      <c r="E5" s="127" t="s">
        <v>251</v>
      </c>
      <c r="F5" s="128" t="s">
        <v>252</v>
      </c>
      <c r="G5" s="129" t="s">
        <v>242</v>
      </c>
      <c r="L5" s="130" t="s">
        <v>253</v>
      </c>
      <c r="O5" s="131" t="s">
        <v>254</v>
      </c>
    </row>
    <row r="6" spans="1:17" ht="15.75" customHeight="1" x14ac:dyDescent="0.2">
      <c r="A6" s="138" t="s">
        <v>255</v>
      </c>
      <c r="B6" s="137" t="s">
        <v>256</v>
      </c>
      <c r="C6" s="138" t="s">
        <v>13</v>
      </c>
      <c r="D6" s="358">
        <f>Q6</f>
        <v>495.20670000000001</v>
      </c>
      <c r="E6" s="132">
        <v>107.619</v>
      </c>
      <c r="F6" s="133" t="s">
        <v>242</v>
      </c>
      <c r="G6" s="134" t="s">
        <v>242</v>
      </c>
      <c r="H6" s="135" t="s">
        <v>257</v>
      </c>
      <c r="L6" s="117">
        <v>3</v>
      </c>
      <c r="O6" s="136" t="e">
        <f>#REF!/#REF!</f>
        <v>#REF!</v>
      </c>
      <c r="Q6" s="376">
        <v>495.20670000000001</v>
      </c>
    </row>
    <row r="7" spans="1:17" x14ac:dyDescent="0.2">
      <c r="A7" s="138" t="s">
        <v>258</v>
      </c>
      <c r="B7" s="137" t="s">
        <v>259</v>
      </c>
      <c r="C7" s="138" t="s">
        <v>16</v>
      </c>
      <c r="D7" s="358">
        <f>Q7</f>
        <v>8.2467000000000006</v>
      </c>
      <c r="E7" s="139">
        <v>1.831</v>
      </c>
      <c r="F7" s="140" t="s">
        <v>242</v>
      </c>
      <c r="G7" s="141" t="s">
        <v>242</v>
      </c>
      <c r="L7" s="117">
        <v>3</v>
      </c>
      <c r="O7" s="136" t="e">
        <f>D7/#REF!</f>
        <v>#REF!</v>
      </c>
      <c r="Q7" s="376">
        <v>8.2467000000000006</v>
      </c>
    </row>
    <row r="8" spans="1:17" x14ac:dyDescent="0.2">
      <c r="A8" s="138" t="s">
        <v>260</v>
      </c>
      <c r="B8" s="137" t="s">
        <v>261</v>
      </c>
      <c r="C8" s="138" t="s">
        <v>262</v>
      </c>
      <c r="D8" s="358">
        <f t="shared" ref="D8:D71" si="0">Q8</f>
        <v>8824.8767000000007</v>
      </c>
      <c r="E8" s="139">
        <v>1831.067</v>
      </c>
      <c r="F8" s="140" t="s">
        <v>242</v>
      </c>
      <c r="G8" s="141" t="s">
        <v>242</v>
      </c>
      <c r="H8" s="142"/>
      <c r="L8" s="117">
        <v>3</v>
      </c>
      <c r="O8" s="136" t="e">
        <f>D8/#REF!</f>
        <v>#REF!</v>
      </c>
      <c r="Q8" s="376">
        <v>8824.8767000000007</v>
      </c>
    </row>
    <row r="9" spans="1:17" x14ac:dyDescent="0.2">
      <c r="A9" s="138" t="s">
        <v>263</v>
      </c>
      <c r="B9" s="137" t="s">
        <v>264</v>
      </c>
      <c r="C9" s="138" t="s">
        <v>16</v>
      </c>
      <c r="D9" s="358">
        <f t="shared" si="0"/>
        <v>12.49</v>
      </c>
      <c r="E9" s="139">
        <v>2.3530000000000002</v>
      </c>
      <c r="F9" s="143" t="s">
        <v>242</v>
      </c>
      <c r="G9" s="141" t="s">
        <v>242</v>
      </c>
      <c r="L9" s="117">
        <v>3</v>
      </c>
      <c r="O9" s="136" t="e">
        <f>D9/#REF!</f>
        <v>#REF!</v>
      </c>
      <c r="Q9" s="376">
        <v>12.49</v>
      </c>
    </row>
    <row r="10" spans="1:17" x14ac:dyDescent="0.2">
      <c r="A10" s="138" t="s">
        <v>265</v>
      </c>
      <c r="B10" s="137" t="s">
        <v>266</v>
      </c>
      <c r="C10" s="138" t="s">
        <v>184</v>
      </c>
      <c r="D10" s="358">
        <f t="shared" si="0"/>
        <v>16.7133</v>
      </c>
      <c r="E10" s="139">
        <v>4.1180000000000003</v>
      </c>
      <c r="F10" s="143" t="s">
        <v>242</v>
      </c>
      <c r="G10" s="141" t="s">
        <v>242</v>
      </c>
      <c r="L10" s="117">
        <v>3</v>
      </c>
      <c r="O10" s="136" t="e">
        <f>D10/#REF!</f>
        <v>#REF!</v>
      </c>
      <c r="Q10" s="376">
        <v>16.7133</v>
      </c>
    </row>
    <row r="11" spans="1:17" x14ac:dyDescent="0.2">
      <c r="A11" s="138" t="s">
        <v>267</v>
      </c>
      <c r="B11" s="137" t="s">
        <v>268</v>
      </c>
      <c r="C11" s="138" t="s">
        <v>16</v>
      </c>
      <c r="D11" s="358">
        <f t="shared" si="0"/>
        <v>11.6699</v>
      </c>
      <c r="E11" s="139">
        <v>2.2349999999999999</v>
      </c>
      <c r="F11" s="143" t="s">
        <v>242</v>
      </c>
      <c r="G11" s="141" t="s">
        <v>242</v>
      </c>
      <c r="L11" s="117">
        <v>3</v>
      </c>
      <c r="O11" s="136" t="e">
        <f>D11/#REF!</f>
        <v>#REF!</v>
      </c>
      <c r="Q11" s="377">
        <v>11.6699</v>
      </c>
    </row>
    <row r="12" spans="1:17" x14ac:dyDescent="0.2">
      <c r="A12" s="138" t="s">
        <v>269</v>
      </c>
      <c r="B12" s="137" t="s">
        <v>270</v>
      </c>
      <c r="C12" s="138" t="s">
        <v>16</v>
      </c>
      <c r="D12" s="358">
        <f t="shared" si="0"/>
        <v>12.103300000000001</v>
      </c>
      <c r="E12" s="139">
        <v>2.86</v>
      </c>
      <c r="F12" s="143" t="s">
        <v>242</v>
      </c>
      <c r="G12" s="141" t="s">
        <v>242</v>
      </c>
      <c r="L12" s="117">
        <v>3</v>
      </c>
      <c r="O12" s="136" t="e">
        <f>D12/#REF!</f>
        <v>#REF!</v>
      </c>
      <c r="Q12" s="378">
        <v>12.103300000000001</v>
      </c>
    </row>
    <row r="13" spans="1:17" x14ac:dyDescent="0.2">
      <c r="A13" s="138" t="s">
        <v>271</v>
      </c>
      <c r="B13" s="137" t="s">
        <v>272</v>
      </c>
      <c r="C13" s="138" t="s">
        <v>16</v>
      </c>
      <c r="D13" s="358">
        <f t="shared" si="0"/>
        <v>11.396699999999999</v>
      </c>
      <c r="E13" s="139">
        <v>2.738</v>
      </c>
      <c r="F13" s="143" t="s">
        <v>242</v>
      </c>
      <c r="G13" s="144" t="s">
        <v>242</v>
      </c>
      <c r="J13" s="145"/>
      <c r="L13" s="117">
        <v>3</v>
      </c>
      <c r="O13" s="136" t="e">
        <f>D13/#REF!</f>
        <v>#REF!</v>
      </c>
      <c r="Q13" s="378">
        <v>11.396699999999999</v>
      </c>
    </row>
    <row r="14" spans="1:17" x14ac:dyDescent="0.2">
      <c r="A14" s="138" t="s">
        <v>273</v>
      </c>
      <c r="B14" s="137" t="s">
        <v>274</v>
      </c>
      <c r="C14" s="138" t="s">
        <v>7</v>
      </c>
      <c r="D14" s="358">
        <f t="shared" si="0"/>
        <v>33.256599999999999</v>
      </c>
      <c r="E14" s="139">
        <v>5.9749999999999996</v>
      </c>
      <c r="F14" s="143" t="s">
        <v>242</v>
      </c>
      <c r="G14" s="141" t="s">
        <v>242</v>
      </c>
      <c r="H14" s="117">
        <v>5047</v>
      </c>
      <c r="L14" s="117">
        <v>3</v>
      </c>
      <c r="O14" s="136" t="e">
        <f>D14/#REF!</f>
        <v>#REF!</v>
      </c>
      <c r="Q14" s="378">
        <v>33.256599999999999</v>
      </c>
    </row>
    <row r="15" spans="1:17" x14ac:dyDescent="0.2">
      <c r="A15" s="138" t="s">
        <v>275</v>
      </c>
      <c r="B15" s="137" t="s">
        <v>276</v>
      </c>
      <c r="C15" s="138" t="s">
        <v>16</v>
      </c>
      <c r="D15" s="358">
        <f t="shared" si="0"/>
        <v>11.0433</v>
      </c>
      <c r="E15" s="139">
        <v>2.7469999999999999</v>
      </c>
      <c r="F15" s="143" t="s">
        <v>242</v>
      </c>
      <c r="G15" s="144" t="s">
        <v>242</v>
      </c>
      <c r="H15" s="117">
        <f>4-16</f>
        <v>-12</v>
      </c>
      <c r="L15" s="117">
        <v>3</v>
      </c>
      <c r="O15" s="136" t="e">
        <f>D15/#REF!</f>
        <v>#REF!</v>
      </c>
      <c r="Q15" s="378">
        <v>11.0433</v>
      </c>
    </row>
    <row r="16" spans="1:17" ht="15" customHeight="1" x14ac:dyDescent="0.2">
      <c r="A16" s="138" t="s">
        <v>277</v>
      </c>
      <c r="B16" s="137" t="s">
        <v>278</v>
      </c>
      <c r="C16" s="138" t="s">
        <v>7</v>
      </c>
      <c r="D16" s="358">
        <f t="shared" si="0"/>
        <v>0.75139999999999996</v>
      </c>
      <c r="E16" s="139">
        <v>0.14599999999999999</v>
      </c>
      <c r="F16" s="143" t="s">
        <v>242</v>
      </c>
      <c r="G16" s="141" t="s">
        <v>242</v>
      </c>
      <c r="H16" s="117">
        <f>5-55</f>
        <v>-50</v>
      </c>
      <c r="L16" s="117">
        <v>3</v>
      </c>
      <c r="O16" s="136" t="e">
        <f>D16/#REF!</f>
        <v>#REF!</v>
      </c>
      <c r="Q16" s="378">
        <v>0.75139999999999996</v>
      </c>
    </row>
    <row r="17" spans="1:17" x14ac:dyDescent="0.2">
      <c r="A17" s="138" t="s">
        <v>279</v>
      </c>
      <c r="B17" s="137" t="s">
        <v>280</v>
      </c>
      <c r="C17" s="138" t="s">
        <v>281</v>
      </c>
      <c r="D17" s="358">
        <f t="shared" si="0"/>
        <v>0.84560000000000002</v>
      </c>
      <c r="E17" s="139">
        <v>0.16200000000000001</v>
      </c>
      <c r="F17" s="143" t="s">
        <v>242</v>
      </c>
      <c r="G17" s="144" t="s">
        <v>242</v>
      </c>
      <c r="H17" s="117">
        <f>5-10</f>
        <v>-5</v>
      </c>
      <c r="L17" s="117">
        <v>3</v>
      </c>
      <c r="O17" s="136" t="e">
        <f>D17/#REF!</f>
        <v>#REF!</v>
      </c>
      <c r="Q17" s="376">
        <v>0.84560000000000002</v>
      </c>
    </row>
    <row r="18" spans="1:17" x14ac:dyDescent="0.2">
      <c r="A18" s="138" t="s">
        <v>282</v>
      </c>
      <c r="B18" s="137" t="s">
        <v>283</v>
      </c>
      <c r="C18" s="138" t="s">
        <v>7</v>
      </c>
      <c r="D18" s="358">
        <f t="shared" si="0"/>
        <v>3.8367</v>
      </c>
      <c r="E18" s="139">
        <v>0.996</v>
      </c>
      <c r="F18" s="143" t="s">
        <v>242</v>
      </c>
      <c r="G18" s="141" t="s">
        <v>242</v>
      </c>
      <c r="H18" s="117">
        <f>24-1</f>
        <v>23</v>
      </c>
      <c r="L18" s="117">
        <v>3</v>
      </c>
      <c r="O18" s="136" t="e">
        <f>D18/#REF!</f>
        <v>#REF!</v>
      </c>
      <c r="Q18" s="376">
        <v>3.8367</v>
      </c>
    </row>
    <row r="19" spans="1:17" x14ac:dyDescent="0.2">
      <c r="A19" s="138" t="s">
        <v>284</v>
      </c>
      <c r="B19" s="137" t="s">
        <v>285</v>
      </c>
      <c r="C19" s="138" t="s">
        <v>7</v>
      </c>
      <c r="D19" s="358">
        <f t="shared" si="0"/>
        <v>3.85</v>
      </c>
      <c r="E19" s="146">
        <f>1.35/1.21</f>
        <v>1.115702479338843</v>
      </c>
      <c r="F19" s="143" t="s">
        <v>242</v>
      </c>
      <c r="G19" s="141" t="s">
        <v>242</v>
      </c>
      <c r="H19" s="117">
        <f>24-2</f>
        <v>22</v>
      </c>
      <c r="O19" s="136" t="e">
        <f>D19/#REF!</f>
        <v>#REF!</v>
      </c>
      <c r="Q19" s="376">
        <v>3.85</v>
      </c>
    </row>
    <row r="20" spans="1:17" x14ac:dyDescent="0.2">
      <c r="A20" s="138" t="s">
        <v>286</v>
      </c>
      <c r="B20" s="137" t="s">
        <v>287</v>
      </c>
      <c r="C20" s="138" t="s">
        <v>184</v>
      </c>
      <c r="D20" s="358">
        <f t="shared" si="0"/>
        <v>1.8365</v>
      </c>
      <c r="E20" s="139">
        <v>0.14899999999999999</v>
      </c>
      <c r="F20" s="143" t="s">
        <v>242</v>
      </c>
      <c r="G20" s="141" t="s">
        <v>242</v>
      </c>
      <c r="O20" s="136" t="e">
        <f>D20/#REF!</f>
        <v>#REF!</v>
      </c>
      <c r="Q20" s="376">
        <v>1.8365</v>
      </c>
    </row>
    <row r="21" spans="1:17" x14ac:dyDescent="0.2">
      <c r="A21" s="138" t="s">
        <v>288</v>
      </c>
      <c r="B21" s="137" t="s">
        <v>289</v>
      </c>
      <c r="C21" s="138" t="s">
        <v>184</v>
      </c>
      <c r="D21" s="358">
        <f t="shared" si="0"/>
        <v>5.0633999999999997</v>
      </c>
      <c r="E21" s="139">
        <v>0.79300000000000004</v>
      </c>
      <c r="F21" s="143" t="s">
        <v>242</v>
      </c>
      <c r="G21" s="141" t="s">
        <v>242</v>
      </c>
      <c r="L21" s="117">
        <v>3</v>
      </c>
      <c r="O21" s="136" t="e">
        <f>D21/#REF!</f>
        <v>#REF!</v>
      </c>
      <c r="Q21" s="376">
        <v>5.0633999999999997</v>
      </c>
    </row>
    <row r="22" spans="1:17" x14ac:dyDescent="0.2">
      <c r="A22" s="138" t="s">
        <v>290</v>
      </c>
      <c r="B22" s="137" t="s">
        <v>291</v>
      </c>
      <c r="C22" s="138" t="s">
        <v>184</v>
      </c>
      <c r="D22" s="358">
        <f t="shared" si="0"/>
        <v>21.721</v>
      </c>
      <c r="E22" s="139">
        <v>2.6589999999999998</v>
      </c>
      <c r="F22" s="143" t="s">
        <v>242</v>
      </c>
      <c r="G22" s="144" t="s">
        <v>242</v>
      </c>
      <c r="H22" s="117">
        <v>5722</v>
      </c>
      <c r="L22" s="117">
        <v>3</v>
      </c>
      <c r="O22" s="136" t="e">
        <f>D22/#REF!</f>
        <v>#REF!</v>
      </c>
      <c r="Q22" s="376">
        <v>21.721</v>
      </c>
    </row>
    <row r="23" spans="1:17" x14ac:dyDescent="0.2">
      <c r="A23" s="138" t="s">
        <v>292</v>
      </c>
      <c r="B23" s="137" t="s">
        <v>293</v>
      </c>
      <c r="C23" s="138" t="s">
        <v>262</v>
      </c>
      <c r="D23" s="358">
        <f t="shared" si="0"/>
        <v>10217.549999999999</v>
      </c>
      <c r="E23" s="147">
        <f>(4270)/1.21*1.06</f>
        <v>3740.6611570247937</v>
      </c>
      <c r="F23" s="143"/>
      <c r="G23" s="148"/>
      <c r="H23" s="117" t="s">
        <v>294</v>
      </c>
      <c r="L23" s="117">
        <v>1</v>
      </c>
      <c r="O23" s="136" t="e">
        <f>D23/#REF!</f>
        <v>#REF!</v>
      </c>
      <c r="Q23" s="376">
        <v>10217.549999999999</v>
      </c>
    </row>
    <row r="24" spans="1:17" x14ac:dyDescent="0.2">
      <c r="A24" s="138" t="s">
        <v>295</v>
      </c>
      <c r="B24" s="137" t="s">
        <v>296</v>
      </c>
      <c r="C24" s="138" t="s">
        <v>7</v>
      </c>
      <c r="D24" s="358">
        <f t="shared" si="0"/>
        <v>15.246499999999999</v>
      </c>
      <c r="E24" s="147"/>
      <c r="F24" s="143"/>
      <c r="G24" s="148"/>
      <c r="O24" s="136"/>
      <c r="Q24" s="376">
        <v>15.246499999999999</v>
      </c>
    </row>
    <row r="25" spans="1:17" x14ac:dyDescent="0.2">
      <c r="A25" s="138" t="s">
        <v>297</v>
      </c>
      <c r="B25" s="137" t="s">
        <v>298</v>
      </c>
      <c r="C25" s="138" t="s">
        <v>7</v>
      </c>
      <c r="D25" s="358">
        <f t="shared" si="0"/>
        <v>20.180499999999999</v>
      </c>
      <c r="E25" s="147"/>
      <c r="F25" s="143"/>
      <c r="G25" s="148"/>
      <c r="O25" s="136"/>
      <c r="Q25" s="376">
        <v>20.180499999999999</v>
      </c>
    </row>
    <row r="26" spans="1:17" x14ac:dyDescent="0.2">
      <c r="A26" s="138" t="s">
        <v>299</v>
      </c>
      <c r="B26" s="137" t="s">
        <v>300</v>
      </c>
      <c r="C26" s="138" t="s">
        <v>301</v>
      </c>
      <c r="D26" s="358">
        <f t="shared" si="0"/>
        <v>8.7440999999999995</v>
      </c>
      <c r="E26" s="149">
        <v>1.5369999999999999</v>
      </c>
      <c r="F26" s="140" t="s">
        <v>242</v>
      </c>
      <c r="G26" s="141"/>
      <c r="H26" s="135" t="s">
        <v>302</v>
      </c>
      <c r="L26" s="117">
        <v>2</v>
      </c>
      <c r="O26" s="136" t="e">
        <f>D26/#REF!</f>
        <v>#REF!</v>
      </c>
      <c r="Q26" s="376">
        <v>8.7440999999999995</v>
      </c>
    </row>
    <row r="27" spans="1:17" x14ac:dyDescent="0.2">
      <c r="A27" s="138" t="s">
        <v>303</v>
      </c>
      <c r="B27" s="137" t="s">
        <v>304</v>
      </c>
      <c r="C27" s="138" t="s">
        <v>301</v>
      </c>
      <c r="D27" s="358">
        <f t="shared" si="0"/>
        <v>5.8766999999999996</v>
      </c>
      <c r="E27" s="149">
        <v>1.139</v>
      </c>
      <c r="F27" s="140" t="s">
        <v>242</v>
      </c>
      <c r="G27" s="141"/>
      <c r="L27" s="117">
        <v>2</v>
      </c>
      <c r="O27" s="136" t="e">
        <f>D27/#REF!</f>
        <v>#REF!</v>
      </c>
      <c r="Q27" s="376">
        <v>5.8766999999999996</v>
      </c>
    </row>
    <row r="28" spans="1:17" x14ac:dyDescent="0.2">
      <c r="A28" s="138" t="s">
        <v>305</v>
      </c>
      <c r="B28" s="137" t="s">
        <v>306</v>
      </c>
      <c r="C28" s="138" t="s">
        <v>14</v>
      </c>
      <c r="D28" s="358">
        <f t="shared" si="0"/>
        <v>5.8766999999999996</v>
      </c>
      <c r="E28" s="149">
        <f>0.64*D195</f>
        <v>4.5056000000000003</v>
      </c>
      <c r="F28" s="150"/>
      <c r="G28" s="151"/>
      <c r="L28" s="117">
        <v>1</v>
      </c>
      <c r="O28" s="136" t="e">
        <f>D28/#REF!</f>
        <v>#REF!</v>
      </c>
      <c r="Q28" s="376">
        <v>5.8766999999999996</v>
      </c>
    </row>
    <row r="29" spans="1:17" x14ac:dyDescent="0.2">
      <c r="A29" s="138" t="s">
        <v>307</v>
      </c>
      <c r="B29" s="137" t="s">
        <v>308</v>
      </c>
      <c r="C29" s="138" t="s">
        <v>14</v>
      </c>
      <c r="D29" s="358">
        <f t="shared" si="0"/>
        <v>5.8766999999999996</v>
      </c>
      <c r="E29" s="149"/>
      <c r="F29" s="150"/>
      <c r="G29" s="151"/>
      <c r="O29" s="136"/>
      <c r="Q29" s="376">
        <v>5.8766999999999996</v>
      </c>
    </row>
    <row r="30" spans="1:17" x14ac:dyDescent="0.2">
      <c r="A30" s="138" t="s">
        <v>309</v>
      </c>
      <c r="B30" s="137" t="s">
        <v>310</v>
      </c>
      <c r="C30" s="138" t="s">
        <v>14</v>
      </c>
      <c r="D30" s="358">
        <f t="shared" si="0"/>
        <v>30.24</v>
      </c>
      <c r="E30" s="149">
        <v>3.58</v>
      </c>
      <c r="F30" s="150"/>
      <c r="G30" s="151"/>
      <c r="L30" s="117">
        <v>1</v>
      </c>
      <c r="O30" s="136" t="e">
        <f>D30/#REF!</f>
        <v>#REF!</v>
      </c>
      <c r="Q30" s="376">
        <v>30.24</v>
      </c>
    </row>
    <row r="31" spans="1:17" x14ac:dyDescent="0.2">
      <c r="A31" s="138" t="s">
        <v>311</v>
      </c>
      <c r="B31" s="137" t="s">
        <v>312</v>
      </c>
      <c r="C31" s="138" t="s">
        <v>301</v>
      </c>
      <c r="D31" s="358">
        <f t="shared" si="0"/>
        <v>30.24</v>
      </c>
      <c r="E31" s="149">
        <v>3.6829999999999998</v>
      </c>
      <c r="F31" s="150"/>
      <c r="G31" s="151"/>
      <c r="I31" s="117">
        <v>17454.599999999999</v>
      </c>
      <c r="L31" s="117">
        <v>1</v>
      </c>
      <c r="O31" s="136" t="e">
        <f>D31/#REF!</f>
        <v>#REF!</v>
      </c>
      <c r="Q31" s="376">
        <v>30.24</v>
      </c>
    </row>
    <row r="32" spans="1:17" x14ac:dyDescent="0.2">
      <c r="A32" s="138" t="s">
        <v>313</v>
      </c>
      <c r="B32" s="137" t="s">
        <v>314</v>
      </c>
      <c r="C32" s="138" t="s">
        <v>301</v>
      </c>
      <c r="D32" s="358">
        <f t="shared" si="0"/>
        <v>5.8733000000000004</v>
      </c>
      <c r="E32" s="149">
        <v>0.68899999999999995</v>
      </c>
      <c r="F32" s="140" t="s">
        <v>242</v>
      </c>
      <c r="G32" s="151"/>
      <c r="I32" s="117">
        <v>9203.98</v>
      </c>
      <c r="J32" s="117">
        <f>I31-I32</f>
        <v>8250.619999999999</v>
      </c>
      <c r="L32" s="117">
        <v>2</v>
      </c>
      <c r="O32" s="136" t="e">
        <f>D32/#REF!</f>
        <v>#REF!</v>
      </c>
      <c r="Q32" s="376">
        <v>5.8733000000000004</v>
      </c>
    </row>
    <row r="33" spans="1:17" x14ac:dyDescent="0.2">
      <c r="A33" s="244" t="s">
        <v>315</v>
      </c>
      <c r="B33" s="137" t="s">
        <v>316</v>
      </c>
      <c r="C33" s="138" t="s">
        <v>14</v>
      </c>
      <c r="D33" s="358">
        <f t="shared" si="0"/>
        <v>27.999300000000002</v>
      </c>
      <c r="E33" s="149">
        <v>7.5940000000000003</v>
      </c>
      <c r="F33" s="150"/>
      <c r="G33" s="151"/>
      <c r="I33" s="117">
        <f>I31/I32</f>
        <v>1.8964187232045266</v>
      </c>
      <c r="L33" s="117">
        <v>1</v>
      </c>
      <c r="O33" s="136" t="e">
        <f>D33/#REF!</f>
        <v>#REF!</v>
      </c>
      <c r="Q33" s="376">
        <v>27.999300000000002</v>
      </c>
    </row>
    <row r="34" spans="1:17" x14ac:dyDescent="0.2">
      <c r="A34" s="138" t="s">
        <v>317</v>
      </c>
      <c r="B34" s="137" t="s">
        <v>318</v>
      </c>
      <c r="C34" s="138" t="s">
        <v>14</v>
      </c>
      <c r="D34" s="358">
        <f t="shared" si="0"/>
        <v>18.518999999999998</v>
      </c>
      <c r="E34" s="149">
        <f>4.365/1.21</f>
        <v>3.6074380165289259</v>
      </c>
      <c r="F34" s="150"/>
      <c r="G34" s="151"/>
      <c r="L34" s="117">
        <v>1</v>
      </c>
      <c r="O34" s="136" t="e">
        <f>D34/#REF!</f>
        <v>#REF!</v>
      </c>
      <c r="Q34" s="376">
        <v>18.518999999999998</v>
      </c>
    </row>
    <row r="35" spans="1:17" x14ac:dyDescent="0.2">
      <c r="A35" s="138" t="s">
        <v>319</v>
      </c>
      <c r="B35" s="137" t="s">
        <v>320</v>
      </c>
      <c r="C35" s="138" t="s">
        <v>16</v>
      </c>
      <c r="D35" s="358">
        <f t="shared" si="0"/>
        <v>7.0250000000000004</v>
      </c>
      <c r="E35" s="149">
        <v>2.177</v>
      </c>
      <c r="F35" s="140" t="s">
        <v>242</v>
      </c>
      <c r="G35" s="148"/>
      <c r="H35" s="152"/>
      <c r="L35" s="117">
        <v>2</v>
      </c>
      <c r="O35" s="136" t="e">
        <f>D35/#REF!</f>
        <v>#REF!</v>
      </c>
      <c r="Q35" s="376">
        <v>7.0250000000000004</v>
      </c>
    </row>
    <row r="36" spans="1:17" x14ac:dyDescent="0.2">
      <c r="A36" s="138" t="s">
        <v>321</v>
      </c>
      <c r="B36" s="137" t="s">
        <v>322</v>
      </c>
      <c r="C36" s="138" t="s">
        <v>14</v>
      </c>
      <c r="D36" s="358">
        <f t="shared" si="0"/>
        <v>2.2799999999999998</v>
      </c>
      <c r="E36" s="146"/>
      <c r="F36" s="140"/>
      <c r="G36" s="153">
        <f>1.15/1.8</f>
        <v>0.63888888888888884</v>
      </c>
      <c r="H36" s="152" t="s">
        <v>323</v>
      </c>
      <c r="J36" s="117" t="s">
        <v>324</v>
      </c>
      <c r="L36" s="117">
        <v>1</v>
      </c>
      <c r="O36" s="136" t="e">
        <f>D36/#REF!</f>
        <v>#REF!</v>
      </c>
      <c r="Q36" s="376">
        <v>2.2799999999999998</v>
      </c>
    </row>
    <row r="37" spans="1:17" x14ac:dyDescent="0.2">
      <c r="A37" s="138" t="s">
        <v>325</v>
      </c>
      <c r="B37" s="137" t="s">
        <v>326</v>
      </c>
      <c r="C37" s="138" t="s">
        <v>16</v>
      </c>
      <c r="D37" s="358">
        <f t="shared" si="0"/>
        <v>5.08</v>
      </c>
      <c r="E37" s="139">
        <v>1.389</v>
      </c>
      <c r="F37" s="140"/>
      <c r="G37" s="141"/>
      <c r="H37" s="152"/>
      <c r="O37" s="136" t="e">
        <f>D37/#REF!</f>
        <v>#REF!</v>
      </c>
      <c r="Q37" s="376">
        <v>5.08</v>
      </c>
    </row>
    <row r="38" spans="1:17" x14ac:dyDescent="0.2">
      <c r="A38" s="138" t="s">
        <v>327</v>
      </c>
      <c r="B38" s="137" t="s">
        <v>328</v>
      </c>
      <c r="C38" s="138" t="s">
        <v>301</v>
      </c>
      <c r="D38" s="358">
        <f t="shared" si="0"/>
        <v>4.54</v>
      </c>
      <c r="E38" s="149">
        <v>1.772</v>
      </c>
      <c r="F38" s="140" t="s">
        <v>242</v>
      </c>
      <c r="G38" s="154"/>
      <c r="L38" s="117">
        <v>2</v>
      </c>
      <c r="O38" s="136" t="e">
        <f>D38/#REF!</f>
        <v>#REF!</v>
      </c>
      <c r="Q38" s="376">
        <v>4.54</v>
      </c>
    </row>
    <row r="39" spans="1:17" x14ac:dyDescent="0.2">
      <c r="A39" s="138" t="s">
        <v>329</v>
      </c>
      <c r="B39" s="137" t="s">
        <v>330</v>
      </c>
      <c r="C39" s="138" t="s">
        <v>14</v>
      </c>
      <c r="D39" s="358">
        <f t="shared" si="0"/>
        <v>11.708600000000001</v>
      </c>
      <c r="E39" s="146"/>
      <c r="F39" s="150"/>
      <c r="G39" s="153">
        <v>3.3</v>
      </c>
      <c r="H39" s="117" t="s">
        <v>331</v>
      </c>
      <c r="L39" s="117">
        <v>1</v>
      </c>
      <c r="O39" s="136" t="e">
        <f>D39/#REF!</f>
        <v>#REF!</v>
      </c>
      <c r="Q39" s="376">
        <v>11.708600000000001</v>
      </c>
    </row>
    <row r="40" spans="1:17" x14ac:dyDescent="0.2">
      <c r="A40" s="138" t="s">
        <v>332</v>
      </c>
      <c r="B40" s="137" t="s">
        <v>333</v>
      </c>
      <c r="C40" s="138" t="s">
        <v>184</v>
      </c>
      <c r="D40" s="358">
        <f t="shared" si="0"/>
        <v>32.982700000000001</v>
      </c>
      <c r="E40" s="146"/>
      <c r="F40" s="150"/>
      <c r="G40" s="153">
        <f>10/1.22/0.61</f>
        <v>13.437248051599031</v>
      </c>
      <c r="H40" s="117">
        <f>0.605*1.215</f>
        <v>0.73507500000000003</v>
      </c>
      <c r="L40" s="117">
        <v>1</v>
      </c>
      <c r="O40" s="136" t="e">
        <f>D40/#REF!</f>
        <v>#REF!</v>
      </c>
      <c r="Q40" s="376">
        <v>32.982700000000001</v>
      </c>
    </row>
    <row r="41" spans="1:17" x14ac:dyDescent="0.2">
      <c r="A41" s="138" t="s">
        <v>334</v>
      </c>
      <c r="B41" s="137" t="s">
        <v>335</v>
      </c>
      <c r="C41" s="138" t="s">
        <v>16</v>
      </c>
      <c r="D41" s="358">
        <f t="shared" si="0"/>
        <v>4.3</v>
      </c>
      <c r="E41" s="155"/>
      <c r="F41" s="143"/>
      <c r="G41" s="156">
        <f>3/1.21</f>
        <v>2.4793388429752068</v>
      </c>
      <c r="H41" s="157" t="s">
        <v>336</v>
      </c>
      <c r="L41" s="117">
        <v>1</v>
      </c>
      <c r="O41" s="136" t="e">
        <f>D41/#REF!</f>
        <v>#REF!</v>
      </c>
      <c r="Q41" s="376">
        <v>4.3</v>
      </c>
    </row>
    <row r="42" spans="1:17" x14ac:dyDescent="0.2">
      <c r="A42" s="138" t="s">
        <v>337</v>
      </c>
      <c r="B42" s="137" t="s">
        <v>338</v>
      </c>
      <c r="C42" s="138" t="s">
        <v>9</v>
      </c>
      <c r="D42" s="358">
        <f t="shared" si="0"/>
        <v>127.65470000000001</v>
      </c>
      <c r="E42" s="149">
        <v>17</v>
      </c>
      <c r="F42" s="143" t="s">
        <v>242</v>
      </c>
      <c r="G42" s="141"/>
      <c r="H42" s="117" t="s">
        <v>339</v>
      </c>
      <c r="L42" s="117">
        <v>2</v>
      </c>
      <c r="O42" s="136" t="e">
        <f>D42/#REF!</f>
        <v>#REF!</v>
      </c>
      <c r="Q42" s="376">
        <v>127.65470000000001</v>
      </c>
    </row>
    <row r="43" spans="1:17" x14ac:dyDescent="0.2">
      <c r="A43" s="138" t="s">
        <v>340</v>
      </c>
      <c r="B43" s="137" t="s">
        <v>341</v>
      </c>
      <c r="C43" s="138" t="s">
        <v>9</v>
      </c>
      <c r="D43" s="358">
        <f t="shared" si="0"/>
        <v>126.6048</v>
      </c>
      <c r="E43" s="149">
        <v>12.5</v>
      </c>
      <c r="F43" s="143" t="s">
        <v>242</v>
      </c>
      <c r="G43" s="141"/>
      <c r="L43" s="117">
        <v>2</v>
      </c>
      <c r="O43" s="136" t="e">
        <f>D43/#REF!</f>
        <v>#REF!</v>
      </c>
      <c r="Q43" s="376">
        <v>126.6048</v>
      </c>
    </row>
    <row r="44" spans="1:17" x14ac:dyDescent="0.2">
      <c r="A44" s="138" t="s">
        <v>342</v>
      </c>
      <c r="B44" s="137" t="s">
        <v>343</v>
      </c>
      <c r="C44" s="138" t="s">
        <v>9</v>
      </c>
      <c r="D44" s="358">
        <f t="shared" si="0"/>
        <v>120.14100000000001</v>
      </c>
      <c r="E44" s="149">
        <v>14.25</v>
      </c>
      <c r="F44" s="143" t="s">
        <v>242</v>
      </c>
      <c r="G44" s="141"/>
      <c r="H44" s="152"/>
      <c r="L44" s="117">
        <v>2</v>
      </c>
      <c r="O44" s="136" t="e">
        <f>D44/#REF!</f>
        <v>#REF!</v>
      </c>
      <c r="Q44" s="376">
        <v>120.14100000000001</v>
      </c>
    </row>
    <row r="45" spans="1:17" x14ac:dyDescent="0.2">
      <c r="A45" s="138" t="s">
        <v>344</v>
      </c>
      <c r="B45" s="137" t="s">
        <v>228</v>
      </c>
      <c r="C45" s="138" t="s">
        <v>9</v>
      </c>
      <c r="D45" s="358">
        <f t="shared" si="0"/>
        <v>133.7021</v>
      </c>
      <c r="E45" s="149">
        <v>15.75</v>
      </c>
      <c r="F45" s="143" t="s">
        <v>242</v>
      </c>
      <c r="G45" s="141"/>
      <c r="H45" s="152"/>
      <c r="L45" s="117">
        <v>2</v>
      </c>
      <c r="O45" s="136" t="e">
        <f>D45/#REF!</f>
        <v>#REF!</v>
      </c>
      <c r="Q45" s="376">
        <v>133.7021</v>
      </c>
    </row>
    <row r="46" spans="1:17" x14ac:dyDescent="0.2">
      <c r="A46" s="138" t="s">
        <v>345</v>
      </c>
      <c r="B46" s="137" t="s">
        <v>346</v>
      </c>
      <c r="C46" s="138" t="s">
        <v>9</v>
      </c>
      <c r="D46" s="358">
        <f t="shared" si="0"/>
        <v>96.205600000000004</v>
      </c>
      <c r="E46" s="149">
        <v>12.75</v>
      </c>
      <c r="F46" s="143" t="s">
        <v>242</v>
      </c>
      <c r="G46" s="141"/>
      <c r="H46" s="152"/>
      <c r="L46" s="117">
        <v>2</v>
      </c>
      <c r="O46" s="136" t="e">
        <f>D46/#REF!</f>
        <v>#REF!</v>
      </c>
      <c r="Q46" s="376">
        <v>96.205600000000004</v>
      </c>
    </row>
    <row r="47" spans="1:17" x14ac:dyDescent="0.2">
      <c r="A47" s="138" t="s">
        <v>347</v>
      </c>
      <c r="B47" s="137" t="s">
        <v>348</v>
      </c>
      <c r="C47" s="138" t="s">
        <v>9</v>
      </c>
      <c r="D47" s="358">
        <f t="shared" si="0"/>
        <v>141.1867</v>
      </c>
      <c r="E47" s="149">
        <v>17</v>
      </c>
      <c r="F47" s="143" t="s">
        <v>242</v>
      </c>
      <c r="G47" s="141"/>
      <c r="H47" s="152"/>
      <c r="L47" s="117">
        <v>2</v>
      </c>
      <c r="O47" s="136" t="e">
        <f>D47/#REF!</f>
        <v>#REF!</v>
      </c>
      <c r="Q47" s="376">
        <v>141.1867</v>
      </c>
    </row>
    <row r="48" spans="1:17" x14ac:dyDescent="0.2">
      <c r="A48" s="138" t="s">
        <v>349</v>
      </c>
      <c r="B48" s="137" t="s">
        <v>350</v>
      </c>
      <c r="C48" s="138" t="s">
        <v>9</v>
      </c>
      <c r="D48" s="358">
        <f t="shared" si="0"/>
        <v>85.79</v>
      </c>
      <c r="E48" s="149">
        <v>14.17</v>
      </c>
      <c r="F48" s="143" t="s">
        <v>242</v>
      </c>
      <c r="G48" s="144" t="s">
        <v>242</v>
      </c>
      <c r="L48" s="117">
        <v>1</v>
      </c>
      <c r="O48" s="136" t="e">
        <f>D48/#REF!</f>
        <v>#REF!</v>
      </c>
      <c r="Q48" s="376">
        <v>85.79</v>
      </c>
    </row>
    <row r="49" spans="1:17" x14ac:dyDescent="0.2">
      <c r="A49" s="138" t="s">
        <v>351</v>
      </c>
      <c r="B49" s="137" t="s">
        <v>352</v>
      </c>
      <c r="C49" s="138" t="s">
        <v>9</v>
      </c>
      <c r="D49" s="358">
        <f t="shared" si="0"/>
        <v>93.03</v>
      </c>
      <c r="E49" s="149">
        <v>13.057</v>
      </c>
      <c r="F49" s="143" t="s">
        <v>242</v>
      </c>
      <c r="G49" s="144" t="s">
        <v>242</v>
      </c>
      <c r="L49" s="117">
        <v>3</v>
      </c>
      <c r="O49" s="136" t="e">
        <f>D49/#REF!</f>
        <v>#REF!</v>
      </c>
      <c r="Q49" s="376">
        <v>93.03</v>
      </c>
    </row>
    <row r="50" spans="1:17" x14ac:dyDescent="0.2">
      <c r="A50" s="138" t="s">
        <v>353</v>
      </c>
      <c r="B50" s="137" t="s">
        <v>354</v>
      </c>
      <c r="C50" s="138" t="s">
        <v>9</v>
      </c>
      <c r="D50" s="358">
        <f t="shared" si="0"/>
        <v>85.953400000000002</v>
      </c>
      <c r="E50" s="155"/>
      <c r="F50" s="143"/>
      <c r="G50" s="144">
        <v>12.5</v>
      </c>
      <c r="L50" s="117">
        <v>1</v>
      </c>
      <c r="O50" s="136" t="e">
        <f>D50/#REF!</f>
        <v>#REF!</v>
      </c>
      <c r="Q50" s="376">
        <v>85.953400000000002</v>
      </c>
    </row>
    <row r="51" spans="1:17" x14ac:dyDescent="0.2">
      <c r="A51" s="138" t="s">
        <v>353</v>
      </c>
      <c r="B51" s="137" t="s">
        <v>355</v>
      </c>
      <c r="C51" s="138" t="s">
        <v>9</v>
      </c>
      <c r="D51" s="358">
        <f t="shared" si="0"/>
        <v>85.953400000000002</v>
      </c>
      <c r="E51" s="149">
        <v>14.17</v>
      </c>
      <c r="F51" s="143" t="s">
        <v>242</v>
      </c>
      <c r="G51" s="144" t="s">
        <v>242</v>
      </c>
      <c r="O51" s="136" t="e">
        <f>D51/#REF!</f>
        <v>#REF!</v>
      </c>
      <c r="Q51" s="376">
        <v>85.953400000000002</v>
      </c>
    </row>
    <row r="52" spans="1:17" x14ac:dyDescent="0.2">
      <c r="A52" s="138" t="s">
        <v>356</v>
      </c>
      <c r="B52" s="137" t="s">
        <v>229</v>
      </c>
      <c r="C52" s="138" t="s">
        <v>9</v>
      </c>
      <c r="D52" s="358">
        <f t="shared" si="0"/>
        <v>140.7234</v>
      </c>
      <c r="E52" s="149">
        <v>16.667000000000002</v>
      </c>
      <c r="F52" s="143" t="s">
        <v>242</v>
      </c>
      <c r="G52" s="144" t="s">
        <v>242</v>
      </c>
      <c r="L52" s="117">
        <v>3</v>
      </c>
      <c r="O52" s="136" t="e">
        <f>D52/#REF!</f>
        <v>#REF!</v>
      </c>
      <c r="Q52" s="376">
        <v>140.7234</v>
      </c>
    </row>
    <row r="53" spans="1:17" x14ac:dyDescent="0.2">
      <c r="A53" s="138" t="s">
        <v>357</v>
      </c>
      <c r="B53" s="137" t="s">
        <v>358</v>
      </c>
      <c r="C53" s="138" t="s">
        <v>14</v>
      </c>
      <c r="D53" s="358">
        <f t="shared" si="0"/>
        <v>46.5944</v>
      </c>
      <c r="E53" s="149">
        <v>9.1059999999999999</v>
      </c>
      <c r="F53" s="140" t="s">
        <v>242</v>
      </c>
      <c r="G53" s="151"/>
      <c r="H53" s="158" t="s">
        <v>359</v>
      </c>
      <c r="L53" s="117">
        <v>2</v>
      </c>
      <c r="O53" s="136" t="e">
        <f>D53/#REF!</f>
        <v>#REF!</v>
      </c>
      <c r="Q53" s="376">
        <v>46.5944</v>
      </c>
    </row>
    <row r="54" spans="1:17" x14ac:dyDescent="0.2">
      <c r="A54" s="138" t="s">
        <v>360</v>
      </c>
      <c r="B54" s="137" t="s">
        <v>361</v>
      </c>
      <c r="C54" s="138" t="s">
        <v>184</v>
      </c>
      <c r="D54" s="358">
        <f t="shared" si="0"/>
        <v>11.569699999999999</v>
      </c>
      <c r="E54" s="149">
        <v>1.149</v>
      </c>
      <c r="F54" s="143" t="s">
        <v>242</v>
      </c>
      <c r="G54" s="151" t="s">
        <v>242</v>
      </c>
      <c r="H54" s="158" t="s">
        <v>362</v>
      </c>
      <c r="L54" s="117">
        <v>2</v>
      </c>
      <c r="O54" s="136" t="e">
        <f>D54/#REF!</f>
        <v>#REF!</v>
      </c>
      <c r="Q54" s="376">
        <v>11.569699999999999</v>
      </c>
    </row>
    <row r="55" spans="1:17" x14ac:dyDescent="0.2">
      <c r="A55" s="138" t="s">
        <v>363</v>
      </c>
      <c r="B55" s="137" t="s">
        <v>364</v>
      </c>
      <c r="C55" s="138" t="s">
        <v>7</v>
      </c>
      <c r="D55" s="358">
        <f t="shared" si="0"/>
        <v>32.207700000000003</v>
      </c>
      <c r="E55" s="149">
        <v>6.351</v>
      </c>
      <c r="F55" s="143"/>
      <c r="G55" s="151" t="s">
        <v>242</v>
      </c>
      <c r="H55" s="158" t="s">
        <v>365</v>
      </c>
      <c r="L55" s="117">
        <v>1</v>
      </c>
      <c r="O55" s="136" t="e">
        <f>D55/#REF!</f>
        <v>#REF!</v>
      </c>
      <c r="Q55" s="376">
        <v>32.207700000000003</v>
      </c>
    </row>
    <row r="56" spans="1:17" x14ac:dyDescent="0.2">
      <c r="A56" s="364" t="s">
        <v>366</v>
      </c>
      <c r="B56" s="137" t="s">
        <v>367</v>
      </c>
      <c r="C56" s="138" t="s">
        <v>184</v>
      </c>
      <c r="D56" s="358">
        <f t="shared" si="0"/>
        <v>2285.4879999999998</v>
      </c>
      <c r="E56" s="139">
        <v>334.25099999999998</v>
      </c>
      <c r="F56" s="143" t="s">
        <v>242</v>
      </c>
      <c r="G56" s="159" t="s">
        <v>242</v>
      </c>
      <c r="H56" s="158" t="s">
        <v>368</v>
      </c>
      <c r="L56" s="117">
        <v>3</v>
      </c>
      <c r="O56" s="136" t="e">
        <f>D56/#REF!</f>
        <v>#REF!</v>
      </c>
      <c r="Q56" s="376">
        <v>2285.4879999999998</v>
      </c>
    </row>
    <row r="57" spans="1:17" x14ac:dyDescent="0.2">
      <c r="A57" s="364" t="s">
        <v>369</v>
      </c>
      <c r="B57" s="137" t="s">
        <v>370</v>
      </c>
      <c r="C57" s="138" t="s">
        <v>184</v>
      </c>
      <c r="D57" s="358">
        <f t="shared" si="0"/>
        <v>2285.4879999999998</v>
      </c>
      <c r="E57" s="149"/>
      <c r="F57" s="143"/>
      <c r="G57" s="160" t="s">
        <v>371</v>
      </c>
      <c r="H57" s="158"/>
      <c r="J57" s="161" t="s">
        <v>372</v>
      </c>
      <c r="L57" s="117">
        <v>1</v>
      </c>
      <c r="O57" s="136" t="e">
        <f>D57/#REF!</f>
        <v>#REF!</v>
      </c>
      <c r="Q57" s="376">
        <v>2285.4879999999998</v>
      </c>
    </row>
    <row r="58" spans="1:17" x14ac:dyDescent="0.2">
      <c r="A58" s="364" t="s">
        <v>373</v>
      </c>
      <c r="B58" s="137" t="s">
        <v>374</v>
      </c>
      <c r="C58" s="138" t="s">
        <v>184</v>
      </c>
      <c r="D58" s="358">
        <f t="shared" si="0"/>
        <v>96.639899999999997</v>
      </c>
      <c r="E58" s="139">
        <v>14.164999999999999</v>
      </c>
      <c r="F58" s="143" t="s">
        <v>242</v>
      </c>
      <c r="G58" s="160" t="s">
        <v>242</v>
      </c>
      <c r="H58" s="158"/>
      <c r="L58" s="117">
        <v>2</v>
      </c>
      <c r="O58" s="136" t="e">
        <f>D58/#REF!</f>
        <v>#REF!</v>
      </c>
      <c r="Q58" s="376">
        <v>96.639899999999997</v>
      </c>
    </row>
    <row r="59" spans="1:17" x14ac:dyDescent="0.2">
      <c r="A59" s="364" t="s">
        <v>375</v>
      </c>
      <c r="B59" s="137" t="s">
        <v>376</v>
      </c>
      <c r="C59" s="138" t="s">
        <v>184</v>
      </c>
      <c r="D59" s="358">
        <f t="shared" si="0"/>
        <v>619.42280000000005</v>
      </c>
      <c r="E59" s="139">
        <v>93.331000000000003</v>
      </c>
      <c r="F59" s="143" t="s">
        <v>377</v>
      </c>
      <c r="G59" s="159" t="s">
        <v>242</v>
      </c>
      <c r="H59" s="158"/>
      <c r="L59" s="117">
        <v>3</v>
      </c>
      <c r="O59" s="136" t="e">
        <f>D59/#REF!</f>
        <v>#REF!</v>
      </c>
      <c r="Q59" s="376">
        <v>619.42280000000005</v>
      </c>
    </row>
    <row r="60" spans="1:17" x14ac:dyDescent="0.2">
      <c r="A60" s="364" t="s">
        <v>378</v>
      </c>
      <c r="B60" s="137" t="s">
        <v>379</v>
      </c>
      <c r="C60" s="138" t="s">
        <v>184</v>
      </c>
      <c r="D60" s="358">
        <f t="shared" si="0"/>
        <v>752.91</v>
      </c>
      <c r="E60" s="139">
        <v>281.58600000000001</v>
      </c>
      <c r="F60" s="143" t="s">
        <v>242</v>
      </c>
      <c r="G60" s="159" t="s">
        <v>242</v>
      </c>
      <c r="H60" s="158"/>
      <c r="L60" s="117">
        <v>2</v>
      </c>
      <c r="O60" s="136" t="e">
        <f>D60/#REF!</f>
        <v>#REF!</v>
      </c>
      <c r="Q60" s="376">
        <v>752.91</v>
      </c>
    </row>
    <row r="61" spans="1:17" x14ac:dyDescent="0.2">
      <c r="A61" s="138" t="s">
        <v>380</v>
      </c>
      <c r="B61" s="137" t="s">
        <v>381</v>
      </c>
      <c r="C61" s="138" t="s">
        <v>184</v>
      </c>
      <c r="D61" s="358">
        <f t="shared" si="0"/>
        <v>142.1609</v>
      </c>
      <c r="E61" s="149">
        <v>35.536999999999999</v>
      </c>
      <c r="F61" s="143" t="s">
        <v>242</v>
      </c>
      <c r="G61" s="151" t="s">
        <v>242</v>
      </c>
      <c r="H61" s="158" t="s">
        <v>382</v>
      </c>
      <c r="L61" s="117">
        <v>1</v>
      </c>
      <c r="O61" s="136" t="e">
        <f>D61/#REF!</f>
        <v>#REF!</v>
      </c>
      <c r="Q61" s="376">
        <v>142.1609</v>
      </c>
    </row>
    <row r="62" spans="1:17" x14ac:dyDescent="0.2">
      <c r="A62" s="138" t="s">
        <v>383</v>
      </c>
      <c r="B62" s="137" t="s">
        <v>384</v>
      </c>
      <c r="C62" s="138" t="s">
        <v>16</v>
      </c>
      <c r="D62" s="358">
        <f t="shared" si="0"/>
        <v>11.162000000000001</v>
      </c>
      <c r="E62" s="149">
        <v>2.1480000000000001</v>
      </c>
      <c r="F62" s="143" t="s">
        <v>242</v>
      </c>
      <c r="G62" s="141" t="s">
        <v>242</v>
      </c>
      <c r="H62" s="158" t="s">
        <v>385</v>
      </c>
      <c r="J62" s="117">
        <f>18-16</f>
        <v>2</v>
      </c>
      <c r="L62" s="117">
        <v>3</v>
      </c>
      <c r="O62" s="136" t="e">
        <f>D62/#REF!</f>
        <v>#REF!</v>
      </c>
      <c r="Q62" s="376">
        <v>11.162000000000001</v>
      </c>
    </row>
    <row r="63" spans="1:17" x14ac:dyDescent="0.2">
      <c r="A63" s="138" t="s">
        <v>386</v>
      </c>
      <c r="B63" s="137" t="s">
        <v>387</v>
      </c>
      <c r="C63" s="138" t="s">
        <v>184</v>
      </c>
      <c r="D63" s="358">
        <f t="shared" si="0"/>
        <v>179.14279999999999</v>
      </c>
      <c r="E63" s="139">
        <v>37.463000000000001</v>
      </c>
      <c r="F63" s="143" t="s">
        <v>242</v>
      </c>
      <c r="G63" s="141" t="s">
        <v>242</v>
      </c>
      <c r="H63" s="158">
        <v>1097</v>
      </c>
      <c r="I63" s="162" t="s">
        <v>388</v>
      </c>
      <c r="L63" s="117">
        <v>3</v>
      </c>
      <c r="O63" s="136" t="e">
        <f>D63/#REF!</f>
        <v>#REF!</v>
      </c>
      <c r="Q63" s="376">
        <v>179.14279999999999</v>
      </c>
    </row>
    <row r="64" spans="1:17" ht="16.5" x14ac:dyDescent="0.3">
      <c r="A64" s="138" t="s">
        <v>389</v>
      </c>
      <c r="B64" s="137" t="s">
        <v>390</v>
      </c>
      <c r="C64" s="138" t="s">
        <v>16</v>
      </c>
      <c r="D64" s="358">
        <f t="shared" si="0"/>
        <v>11.194900000000001</v>
      </c>
      <c r="E64" s="163">
        <v>2.238</v>
      </c>
      <c r="F64" s="143" t="s">
        <v>242</v>
      </c>
      <c r="G64" s="141" t="s">
        <v>242</v>
      </c>
      <c r="H64" s="158">
        <v>1818</v>
      </c>
      <c r="L64" s="117">
        <v>3</v>
      </c>
      <c r="O64" s="136" t="e">
        <f>D64/#REF!</f>
        <v>#REF!</v>
      </c>
      <c r="Q64" s="376">
        <v>11.194900000000001</v>
      </c>
    </row>
    <row r="65" spans="1:17" x14ac:dyDescent="0.2">
      <c r="A65" s="138" t="s">
        <v>391</v>
      </c>
      <c r="B65" s="137" t="s">
        <v>392</v>
      </c>
      <c r="C65" s="138" t="s">
        <v>7</v>
      </c>
      <c r="D65" s="358">
        <f t="shared" si="0"/>
        <v>36.2333</v>
      </c>
      <c r="E65" s="149">
        <v>6.4249999999999998</v>
      </c>
      <c r="F65" s="143" t="s">
        <v>242</v>
      </c>
      <c r="G65" s="141" t="s">
        <v>242</v>
      </c>
      <c r="H65" s="158">
        <f>13-121</f>
        <v>-108</v>
      </c>
      <c r="L65" s="117">
        <v>3</v>
      </c>
      <c r="O65" s="136" t="e">
        <f>D65/#REF!</f>
        <v>#REF!</v>
      </c>
      <c r="Q65" s="376">
        <v>36.2333</v>
      </c>
    </row>
    <row r="66" spans="1:17" x14ac:dyDescent="0.2">
      <c r="A66" s="138" t="s">
        <v>393</v>
      </c>
      <c r="B66" s="137" t="s">
        <v>394</v>
      </c>
      <c r="C66" s="138" t="s">
        <v>184</v>
      </c>
      <c r="D66" s="358">
        <f t="shared" si="0"/>
        <v>220.02330000000001</v>
      </c>
      <c r="E66" s="149">
        <v>37.276000000000003</v>
      </c>
      <c r="F66" s="143" t="s">
        <v>242</v>
      </c>
      <c r="G66" s="141" t="s">
        <v>242</v>
      </c>
      <c r="H66" s="158"/>
      <c r="O66" s="136" t="e">
        <f>D66/#REF!</f>
        <v>#REF!</v>
      </c>
      <c r="Q66" s="376">
        <v>220.02330000000001</v>
      </c>
    </row>
    <row r="67" spans="1:17" x14ac:dyDescent="0.2">
      <c r="A67" s="138" t="s">
        <v>395</v>
      </c>
      <c r="B67" s="137" t="s">
        <v>396</v>
      </c>
      <c r="C67" s="138" t="s">
        <v>184</v>
      </c>
      <c r="D67" s="358">
        <f t="shared" si="0"/>
        <v>98.956699999999998</v>
      </c>
      <c r="E67" s="149">
        <v>19.748999999999999</v>
      </c>
      <c r="F67" s="143" t="s">
        <v>242</v>
      </c>
      <c r="G67" s="141" t="s">
        <v>242</v>
      </c>
      <c r="H67" s="158"/>
      <c r="O67" s="136" t="e">
        <f>D67/#REF!</f>
        <v>#REF!</v>
      </c>
      <c r="Q67" s="376">
        <v>98.956699999999998</v>
      </c>
    </row>
    <row r="68" spans="1:17" x14ac:dyDescent="0.2">
      <c r="A68" s="138" t="s">
        <v>397</v>
      </c>
      <c r="B68" s="137" t="s">
        <v>398</v>
      </c>
      <c r="C68" s="138" t="s">
        <v>184</v>
      </c>
      <c r="D68" s="358">
        <f t="shared" si="0"/>
        <v>14.87</v>
      </c>
      <c r="E68" s="164">
        <v>3.63</v>
      </c>
      <c r="F68" s="143" t="s">
        <v>242</v>
      </c>
      <c r="G68" s="141" t="s">
        <v>242</v>
      </c>
      <c r="H68" s="158"/>
      <c r="L68" s="117">
        <v>1</v>
      </c>
      <c r="O68" s="136" t="e">
        <f>D68/#REF!</f>
        <v>#REF!</v>
      </c>
      <c r="Q68" s="376">
        <v>14.87</v>
      </c>
    </row>
    <row r="69" spans="1:17" x14ac:dyDescent="0.2">
      <c r="A69" s="138" t="s">
        <v>399</v>
      </c>
      <c r="B69" s="137" t="s">
        <v>400</v>
      </c>
      <c r="C69" s="138" t="s">
        <v>184</v>
      </c>
      <c r="D69" s="358">
        <f t="shared" si="0"/>
        <v>20.254999999999999</v>
      </c>
      <c r="E69" s="164">
        <v>5.08</v>
      </c>
      <c r="F69" s="143" t="s">
        <v>242</v>
      </c>
      <c r="G69" s="141" t="s">
        <v>242</v>
      </c>
      <c r="H69" s="158"/>
      <c r="O69" s="136" t="e">
        <f>D69/#REF!</f>
        <v>#REF!</v>
      </c>
      <c r="Q69" s="376">
        <v>20.254999999999999</v>
      </c>
    </row>
    <row r="70" spans="1:17" x14ac:dyDescent="0.2">
      <c r="A70" s="138" t="s">
        <v>401</v>
      </c>
      <c r="B70" s="165" t="s">
        <v>402</v>
      </c>
      <c r="C70" s="138" t="s">
        <v>184</v>
      </c>
      <c r="D70" s="358">
        <f t="shared" si="0"/>
        <v>2.5828000000000002</v>
      </c>
      <c r="E70" s="164">
        <v>0.27</v>
      </c>
      <c r="F70" s="143"/>
      <c r="G70" s="141"/>
      <c r="H70" s="158"/>
      <c r="O70" s="136" t="e">
        <f>D70/#REF!</f>
        <v>#REF!</v>
      </c>
      <c r="Q70" s="376">
        <v>2.5828000000000002</v>
      </c>
    </row>
    <row r="71" spans="1:17" x14ac:dyDescent="0.2">
      <c r="A71" s="138" t="s">
        <v>403</v>
      </c>
      <c r="B71" s="137" t="s">
        <v>404</v>
      </c>
      <c r="C71" s="138" t="s">
        <v>184</v>
      </c>
      <c r="D71" s="358">
        <f t="shared" si="0"/>
        <v>545.04999999999995</v>
      </c>
      <c r="E71" s="166">
        <v>99.174000000000007</v>
      </c>
      <c r="F71" s="167" t="s">
        <v>242</v>
      </c>
      <c r="G71" s="151" t="s">
        <v>242</v>
      </c>
      <c r="H71" s="158">
        <f>0.78/1.21</f>
        <v>0.64462809917355379</v>
      </c>
      <c r="L71" s="117">
        <v>1</v>
      </c>
      <c r="O71" s="136" t="e">
        <f>D71/#REF!</f>
        <v>#REF!</v>
      </c>
      <c r="Q71" s="376">
        <v>545.04999999999995</v>
      </c>
    </row>
    <row r="72" spans="1:17" x14ac:dyDescent="0.2">
      <c r="A72" s="138" t="s">
        <v>405</v>
      </c>
      <c r="B72" s="137" t="s">
        <v>406</v>
      </c>
      <c r="C72" s="138" t="s">
        <v>184</v>
      </c>
      <c r="D72" s="358">
        <f t="shared" ref="D72:D135" si="1">Q72</f>
        <v>64.473299999999995</v>
      </c>
      <c r="E72" s="168">
        <v>25.564</v>
      </c>
      <c r="F72" s="150" t="s">
        <v>242</v>
      </c>
      <c r="G72" s="141" t="s">
        <v>242</v>
      </c>
      <c r="H72" s="158" t="s">
        <v>407</v>
      </c>
      <c r="L72" s="117">
        <v>3</v>
      </c>
      <c r="O72" s="136" t="e">
        <f>D72/#REF!</f>
        <v>#REF!</v>
      </c>
      <c r="Q72" s="376">
        <v>64.473299999999995</v>
      </c>
    </row>
    <row r="73" spans="1:17" x14ac:dyDescent="0.2">
      <c r="A73" s="138" t="s">
        <v>408</v>
      </c>
      <c r="B73" s="137" t="s">
        <v>409</v>
      </c>
      <c r="C73" s="138" t="s">
        <v>7</v>
      </c>
      <c r="D73" s="358">
        <f t="shared" si="1"/>
        <v>6.6714000000000002</v>
      </c>
      <c r="E73" s="168"/>
      <c r="F73" s="150"/>
      <c r="G73" s="141"/>
      <c r="H73" s="158"/>
      <c r="O73" s="136" t="e">
        <f>D73/#REF!</f>
        <v>#REF!</v>
      </c>
      <c r="Q73" s="376">
        <v>6.6714000000000002</v>
      </c>
    </row>
    <row r="74" spans="1:17" x14ac:dyDescent="0.2">
      <c r="A74" s="138" t="s">
        <v>410</v>
      </c>
      <c r="B74" s="137" t="s">
        <v>411</v>
      </c>
      <c r="C74" s="138" t="s">
        <v>7</v>
      </c>
      <c r="D74" s="358">
        <f t="shared" si="1"/>
        <v>3.6947000000000001</v>
      </c>
      <c r="E74" s="139">
        <v>0.55200000000000005</v>
      </c>
      <c r="F74" s="140" t="s">
        <v>242</v>
      </c>
      <c r="G74" s="141" t="s">
        <v>242</v>
      </c>
      <c r="H74" s="158" t="s">
        <v>412</v>
      </c>
      <c r="L74" s="117">
        <v>3</v>
      </c>
      <c r="O74" s="136" t="e">
        <f>D74/#REF!</f>
        <v>#REF!</v>
      </c>
      <c r="Q74" s="376">
        <v>3.6947000000000001</v>
      </c>
    </row>
    <row r="75" spans="1:17" x14ac:dyDescent="0.2">
      <c r="A75" s="138" t="s">
        <v>413</v>
      </c>
      <c r="B75" s="165" t="s">
        <v>414</v>
      </c>
      <c r="C75" s="138" t="s">
        <v>7</v>
      </c>
      <c r="D75" s="358">
        <f t="shared" si="1"/>
        <v>18.188099999999999</v>
      </c>
      <c r="E75" s="139">
        <v>2.8069999999999999</v>
      </c>
      <c r="F75" s="140"/>
      <c r="G75" s="141"/>
      <c r="H75" s="158"/>
      <c r="O75" s="136" t="e">
        <f>D75/#REF!</f>
        <v>#REF!</v>
      </c>
      <c r="Q75" s="376">
        <v>18.188099999999999</v>
      </c>
    </row>
    <row r="76" spans="1:17" x14ac:dyDescent="0.2">
      <c r="A76" s="138" t="s">
        <v>415</v>
      </c>
      <c r="B76" s="165" t="s">
        <v>416</v>
      </c>
      <c r="C76" s="138" t="s">
        <v>184</v>
      </c>
      <c r="D76" s="358">
        <f t="shared" si="1"/>
        <v>2.4603999999999999</v>
      </c>
      <c r="E76" s="139">
        <v>0.42599999999999999</v>
      </c>
      <c r="F76" s="140"/>
      <c r="G76" s="141"/>
      <c r="H76" s="158"/>
      <c r="O76" s="136" t="e">
        <f>D76/#REF!</f>
        <v>#REF!</v>
      </c>
      <c r="Q76" s="376">
        <v>2.4603999999999999</v>
      </c>
    </row>
    <row r="77" spans="1:17" x14ac:dyDescent="0.2">
      <c r="A77" s="138" t="s">
        <v>417</v>
      </c>
      <c r="B77" s="165" t="s">
        <v>418</v>
      </c>
      <c r="C77" s="138" t="s">
        <v>184</v>
      </c>
      <c r="D77" s="358">
        <f t="shared" si="1"/>
        <v>3.2565</v>
      </c>
      <c r="E77" s="139">
        <v>0.83</v>
      </c>
      <c r="F77" s="140"/>
      <c r="G77" s="141"/>
      <c r="H77" s="158"/>
      <c r="O77" s="136" t="e">
        <f>D77/#REF!</f>
        <v>#REF!</v>
      </c>
      <c r="Q77" s="376">
        <v>3.2565</v>
      </c>
    </row>
    <row r="78" spans="1:17" x14ac:dyDescent="0.2">
      <c r="A78" s="138" t="s">
        <v>419</v>
      </c>
      <c r="B78" s="165" t="s">
        <v>420</v>
      </c>
      <c r="C78" s="138" t="s">
        <v>184</v>
      </c>
      <c r="D78" s="358">
        <f t="shared" si="1"/>
        <v>1.6902999999999999</v>
      </c>
      <c r="E78" s="139">
        <v>0.39</v>
      </c>
      <c r="F78" s="140"/>
      <c r="G78" s="141"/>
      <c r="H78" s="158"/>
      <c r="O78" s="136" t="e">
        <f>D78/#REF!</f>
        <v>#REF!</v>
      </c>
      <c r="Q78" s="376">
        <v>1.6902999999999999</v>
      </c>
    </row>
    <row r="79" spans="1:17" x14ac:dyDescent="0.2">
      <c r="A79" s="138" t="s">
        <v>421</v>
      </c>
      <c r="B79" s="165" t="s">
        <v>422</v>
      </c>
      <c r="C79" s="138" t="s">
        <v>184</v>
      </c>
      <c r="D79" s="358">
        <f t="shared" si="1"/>
        <v>6.6534000000000004</v>
      </c>
      <c r="E79" s="139">
        <v>1.3</v>
      </c>
      <c r="F79" s="140"/>
      <c r="G79" s="141"/>
      <c r="H79" s="158"/>
      <c r="O79" s="136" t="e">
        <f>D79/#REF!</f>
        <v>#REF!</v>
      </c>
      <c r="Q79" s="376">
        <v>6.6534000000000004</v>
      </c>
    </row>
    <row r="80" spans="1:17" x14ac:dyDescent="0.2">
      <c r="A80" s="138" t="s">
        <v>423</v>
      </c>
      <c r="B80" s="137" t="s">
        <v>424</v>
      </c>
      <c r="C80" s="138" t="s">
        <v>184</v>
      </c>
      <c r="D80" s="358">
        <f t="shared" si="1"/>
        <v>3.3982000000000001</v>
      </c>
      <c r="E80" s="139">
        <v>0.79800000000000004</v>
      </c>
      <c r="F80" s="140" t="s">
        <v>242</v>
      </c>
      <c r="G80" s="141" t="s">
        <v>242</v>
      </c>
      <c r="H80" s="158"/>
      <c r="L80" s="117">
        <v>3</v>
      </c>
      <c r="O80" s="136" t="e">
        <f>D80/#REF!</f>
        <v>#REF!</v>
      </c>
      <c r="Q80" s="376">
        <v>3.3982000000000001</v>
      </c>
    </row>
    <row r="81" spans="1:17" x14ac:dyDescent="0.2">
      <c r="A81" s="138" t="s">
        <v>425</v>
      </c>
      <c r="B81" s="137" t="s">
        <v>426</v>
      </c>
      <c r="C81" s="138" t="s">
        <v>184</v>
      </c>
      <c r="D81" s="358">
        <f t="shared" si="1"/>
        <v>28.033300000000001</v>
      </c>
      <c r="E81" s="139">
        <v>5.3949999999999996</v>
      </c>
      <c r="F81" s="140" t="s">
        <v>242</v>
      </c>
      <c r="G81" s="141" t="s">
        <v>242</v>
      </c>
      <c r="H81" s="158"/>
      <c r="L81" s="117">
        <v>3</v>
      </c>
      <c r="O81" s="136" t="e">
        <f>D81/#REF!</f>
        <v>#REF!</v>
      </c>
      <c r="Q81" s="376">
        <v>28.033300000000001</v>
      </c>
    </row>
    <row r="82" spans="1:17" x14ac:dyDescent="0.2">
      <c r="A82" s="169" t="s">
        <v>427</v>
      </c>
      <c r="B82" s="137" t="s">
        <v>428</v>
      </c>
      <c r="C82" s="169" t="s">
        <v>184</v>
      </c>
      <c r="D82" s="358">
        <f t="shared" si="1"/>
        <v>35.1188</v>
      </c>
      <c r="E82" s="139">
        <v>6.46</v>
      </c>
      <c r="F82" s="170"/>
      <c r="G82" s="151"/>
      <c r="H82" s="158"/>
      <c r="O82" s="136" t="e">
        <f>D82/#REF!</f>
        <v>#REF!</v>
      </c>
      <c r="Q82" s="376">
        <v>35.1188</v>
      </c>
    </row>
    <row r="83" spans="1:17" x14ac:dyDescent="0.2">
      <c r="A83" s="138" t="s">
        <v>429</v>
      </c>
      <c r="B83" s="137" t="s">
        <v>430</v>
      </c>
      <c r="C83" s="138" t="s">
        <v>184</v>
      </c>
      <c r="D83" s="358">
        <f t="shared" si="1"/>
        <v>31.601800000000001</v>
      </c>
      <c r="E83" s="139">
        <v>4.0590000000000002</v>
      </c>
      <c r="F83" s="140" t="s">
        <v>242</v>
      </c>
      <c r="G83" s="141" t="s">
        <v>242</v>
      </c>
      <c r="H83" s="158"/>
      <c r="L83" s="117">
        <v>3</v>
      </c>
      <c r="O83" s="136" t="e">
        <f>D83/#REF!</f>
        <v>#REF!</v>
      </c>
      <c r="Q83" s="376">
        <v>31.601800000000001</v>
      </c>
    </row>
    <row r="84" spans="1:17" x14ac:dyDescent="0.2">
      <c r="A84" s="138" t="s">
        <v>431</v>
      </c>
      <c r="B84" s="137" t="s">
        <v>432</v>
      </c>
      <c r="C84" s="138" t="s">
        <v>184</v>
      </c>
      <c r="D84" s="358">
        <f t="shared" si="1"/>
        <v>20.02</v>
      </c>
      <c r="E84" s="149">
        <v>2.363</v>
      </c>
      <c r="F84" s="140" t="s">
        <v>242</v>
      </c>
      <c r="G84" s="141" t="s">
        <v>242</v>
      </c>
      <c r="H84" s="158"/>
      <c r="L84" s="117">
        <v>3</v>
      </c>
      <c r="O84" s="136" t="e">
        <f>D84/#REF!</f>
        <v>#REF!</v>
      </c>
      <c r="Q84" s="376">
        <v>20.02</v>
      </c>
    </row>
    <row r="85" spans="1:17" x14ac:dyDescent="0.2">
      <c r="A85" s="138" t="s">
        <v>433</v>
      </c>
      <c r="B85" s="137" t="s">
        <v>434</v>
      </c>
      <c r="C85" s="138" t="s">
        <v>184</v>
      </c>
      <c r="D85" s="358">
        <f t="shared" si="1"/>
        <v>15970.59</v>
      </c>
      <c r="E85" s="168">
        <f>3500/1.21</f>
        <v>2892.5619834710747</v>
      </c>
      <c r="F85" s="150" t="s">
        <v>242</v>
      </c>
      <c r="G85" s="151"/>
      <c r="H85" s="158"/>
      <c r="L85" s="117">
        <v>2</v>
      </c>
      <c r="O85" s="136" t="e">
        <f>D85/#REF!</f>
        <v>#REF!</v>
      </c>
      <c r="Q85" s="376">
        <v>15970.59</v>
      </c>
    </row>
    <row r="86" spans="1:17" x14ac:dyDescent="0.2">
      <c r="A86" s="169" t="s">
        <v>435</v>
      </c>
      <c r="B86" s="165" t="s">
        <v>436</v>
      </c>
      <c r="C86" s="169" t="s">
        <v>184</v>
      </c>
      <c r="D86" s="358">
        <f t="shared" si="1"/>
        <v>72.058599999999998</v>
      </c>
      <c r="E86" s="171"/>
      <c r="F86" s="172">
        <v>12.521000000000001</v>
      </c>
      <c r="G86" s="151"/>
      <c r="H86" s="158"/>
      <c r="O86" s="136" t="e">
        <f>D86/#REF!</f>
        <v>#REF!</v>
      </c>
      <c r="Q86" s="376">
        <v>72.058599999999998</v>
      </c>
    </row>
    <row r="87" spans="1:17" x14ac:dyDescent="0.2">
      <c r="A87" s="169" t="s">
        <v>437</v>
      </c>
      <c r="B87" s="165" t="s">
        <v>438</v>
      </c>
      <c r="C87" s="169" t="s">
        <v>184</v>
      </c>
      <c r="D87" s="358">
        <f t="shared" si="1"/>
        <v>160.8733</v>
      </c>
      <c r="E87" s="171"/>
      <c r="F87" s="172">
        <f>17.564/1.21</f>
        <v>14.515702479338843</v>
      </c>
      <c r="G87" s="151"/>
      <c r="H87" s="158"/>
      <c r="O87" s="136" t="e">
        <f>D87/#REF!</f>
        <v>#REF!</v>
      </c>
      <c r="Q87" s="376">
        <v>160.8733</v>
      </c>
    </row>
    <row r="88" spans="1:17" x14ac:dyDescent="0.2">
      <c r="A88" s="169" t="s">
        <v>439</v>
      </c>
      <c r="B88" s="165" t="s">
        <v>440</v>
      </c>
      <c r="C88" s="169" t="s">
        <v>184</v>
      </c>
      <c r="D88" s="358">
        <f t="shared" si="1"/>
        <v>160.8733</v>
      </c>
      <c r="E88" s="171"/>
      <c r="F88" s="172">
        <f>13.254/1.21</f>
        <v>10.953719008264462</v>
      </c>
      <c r="G88" s="151"/>
      <c r="H88" s="158"/>
      <c r="O88" s="136" t="e">
        <f>D88/#REF!</f>
        <v>#REF!</v>
      </c>
      <c r="Q88" s="376">
        <v>160.8733</v>
      </c>
    </row>
    <row r="89" spans="1:17" x14ac:dyDescent="0.2">
      <c r="A89" s="169" t="s">
        <v>441</v>
      </c>
      <c r="B89" s="173" t="s">
        <v>442</v>
      </c>
      <c r="C89" s="169" t="s">
        <v>184</v>
      </c>
      <c r="D89" s="358">
        <f t="shared" si="1"/>
        <v>160.8733</v>
      </c>
      <c r="E89" s="171"/>
      <c r="F89" s="174">
        <v>0.27</v>
      </c>
      <c r="G89" s="151"/>
      <c r="H89" s="158"/>
      <c r="O89" s="136" t="e">
        <f>D89/#REF!</f>
        <v>#REF!</v>
      </c>
      <c r="Q89" s="376">
        <v>160.8733</v>
      </c>
    </row>
    <row r="90" spans="1:17" x14ac:dyDescent="0.2">
      <c r="A90" s="169" t="s">
        <v>443</v>
      </c>
      <c r="B90" s="173" t="s">
        <v>444</v>
      </c>
      <c r="C90" s="169" t="s">
        <v>184</v>
      </c>
      <c r="D90" s="358">
        <f t="shared" si="1"/>
        <v>160.8733</v>
      </c>
      <c r="E90" s="171"/>
      <c r="F90" s="174">
        <v>0.63</v>
      </c>
      <c r="G90" s="151"/>
      <c r="H90" s="158"/>
      <c r="O90" s="136" t="e">
        <f>D90/#REF!</f>
        <v>#REF!</v>
      </c>
      <c r="Q90" s="376">
        <v>160.8733</v>
      </c>
    </row>
    <row r="91" spans="1:17" x14ac:dyDescent="0.2">
      <c r="A91" s="169" t="s">
        <v>445</v>
      </c>
      <c r="B91" s="165" t="s">
        <v>446</v>
      </c>
      <c r="C91" s="169" t="s">
        <v>184</v>
      </c>
      <c r="D91" s="358">
        <f t="shared" si="1"/>
        <v>3.4540000000000002</v>
      </c>
      <c r="E91" s="171"/>
      <c r="F91" s="174">
        <f>0.443/1.21</f>
        <v>0.36611570247933883</v>
      </c>
      <c r="G91" s="151"/>
      <c r="H91" s="158"/>
      <c r="O91" s="136" t="e">
        <f>D91/#REF!</f>
        <v>#REF!</v>
      </c>
      <c r="Q91" s="376">
        <v>3.4540000000000002</v>
      </c>
    </row>
    <row r="92" spans="1:17" x14ac:dyDescent="0.2">
      <c r="A92" s="169" t="s">
        <v>447</v>
      </c>
      <c r="B92" s="165" t="s">
        <v>448</v>
      </c>
      <c r="C92" s="169" t="s">
        <v>184</v>
      </c>
      <c r="D92" s="358">
        <f t="shared" si="1"/>
        <v>217.251</v>
      </c>
      <c r="E92" s="171"/>
      <c r="F92" s="174">
        <f>3.21/1.21</f>
        <v>2.6528925619834713</v>
      </c>
      <c r="G92" s="151"/>
      <c r="H92" s="158"/>
      <c r="O92" s="136" t="e">
        <f>D92/#REF!</f>
        <v>#REF!</v>
      </c>
      <c r="Q92" s="376">
        <v>217.251</v>
      </c>
    </row>
    <row r="93" spans="1:17" ht="13.5" customHeight="1" x14ac:dyDescent="0.2">
      <c r="A93" s="365" t="s">
        <v>449</v>
      </c>
      <c r="B93" s="165" t="s">
        <v>450</v>
      </c>
      <c r="C93" s="169" t="s">
        <v>184</v>
      </c>
      <c r="D93" s="358">
        <f t="shared" si="1"/>
        <v>11.22</v>
      </c>
      <c r="E93" s="171"/>
      <c r="F93" s="175">
        <f>5.51/1.21</f>
        <v>4.553719008264463</v>
      </c>
      <c r="G93" s="151"/>
      <c r="H93" s="158"/>
      <c r="O93" s="136" t="e">
        <f>D93/#REF!</f>
        <v>#REF!</v>
      </c>
      <c r="Q93" s="376">
        <v>11.22</v>
      </c>
    </row>
    <row r="94" spans="1:17" ht="13.5" customHeight="1" x14ac:dyDescent="0.2">
      <c r="A94" s="365" t="s">
        <v>451</v>
      </c>
      <c r="B94" s="165" t="s">
        <v>452</v>
      </c>
      <c r="C94" s="169" t="s">
        <v>184</v>
      </c>
      <c r="D94" s="358">
        <f t="shared" si="1"/>
        <v>11.22</v>
      </c>
      <c r="E94" s="171"/>
      <c r="F94" s="175">
        <f>6.76/1.21</f>
        <v>5.5867768595041323</v>
      </c>
      <c r="G94" s="151"/>
      <c r="H94" s="158"/>
      <c r="O94" s="136" t="e">
        <f>D94/#REF!</f>
        <v>#REF!</v>
      </c>
      <c r="Q94" s="376">
        <v>11.22</v>
      </c>
    </row>
    <row r="95" spans="1:17" x14ac:dyDescent="0.2">
      <c r="A95" s="365" t="s">
        <v>453</v>
      </c>
      <c r="B95" s="165" t="s">
        <v>454</v>
      </c>
      <c r="C95" s="169" t="s">
        <v>184</v>
      </c>
      <c r="D95" s="358">
        <f t="shared" si="1"/>
        <v>11.22</v>
      </c>
      <c r="E95" s="171"/>
      <c r="F95" s="175">
        <f>5.683/1.21</f>
        <v>4.6966942148760333</v>
      </c>
      <c r="G95" s="151"/>
      <c r="H95" s="158"/>
      <c r="O95" s="136" t="e">
        <f>D95/#REF!</f>
        <v>#REF!</v>
      </c>
      <c r="Q95" s="376">
        <v>11.22</v>
      </c>
    </row>
    <row r="96" spans="1:17" x14ac:dyDescent="0.2">
      <c r="A96" s="169" t="s">
        <v>455</v>
      </c>
      <c r="B96" s="165" t="s">
        <v>456</v>
      </c>
      <c r="C96" s="169" t="s">
        <v>184</v>
      </c>
      <c r="D96" s="358">
        <f t="shared" si="1"/>
        <v>1.93</v>
      </c>
      <c r="E96" s="171"/>
      <c r="F96" s="174">
        <f>0.39/1.21</f>
        <v>0.3223140495867769</v>
      </c>
      <c r="G96" s="151"/>
      <c r="H96" s="158"/>
      <c r="O96" s="136" t="e">
        <f>D96/#REF!</f>
        <v>#REF!</v>
      </c>
      <c r="Q96" s="376">
        <v>1.93</v>
      </c>
    </row>
    <row r="97" spans="1:17" x14ac:dyDescent="0.2">
      <c r="A97" s="169" t="s">
        <v>457</v>
      </c>
      <c r="B97" s="165" t="s">
        <v>458</v>
      </c>
      <c r="C97" s="169" t="s">
        <v>184</v>
      </c>
      <c r="D97" s="358">
        <f t="shared" si="1"/>
        <v>6.6352000000000002</v>
      </c>
      <c r="E97" s="171"/>
      <c r="F97" s="174">
        <f>0.755/1.21</f>
        <v>0.62396694214876036</v>
      </c>
      <c r="G97" s="151"/>
      <c r="H97" s="158"/>
      <c r="O97" s="136" t="e">
        <f>D97/#REF!</f>
        <v>#REF!</v>
      </c>
      <c r="Q97" s="376">
        <v>6.6352000000000002</v>
      </c>
    </row>
    <row r="98" spans="1:17" x14ac:dyDescent="0.2">
      <c r="A98" s="169" t="s">
        <v>459</v>
      </c>
      <c r="B98" s="165" t="s">
        <v>460</v>
      </c>
      <c r="C98" s="169" t="s">
        <v>184</v>
      </c>
      <c r="D98" s="358">
        <f t="shared" si="1"/>
        <v>10.2568</v>
      </c>
      <c r="E98" s="171"/>
      <c r="F98" s="174">
        <f>1.079/1.21</f>
        <v>0.89173553719008258</v>
      </c>
      <c r="G98" s="151"/>
      <c r="H98" s="158"/>
      <c r="O98" s="136" t="e">
        <f>D98/#REF!</f>
        <v>#REF!</v>
      </c>
      <c r="Q98" s="376">
        <v>10.2568</v>
      </c>
    </row>
    <row r="99" spans="1:17" x14ac:dyDescent="0.2">
      <c r="A99" s="169" t="s">
        <v>461</v>
      </c>
      <c r="B99" s="173" t="s">
        <v>462</v>
      </c>
      <c r="C99" s="169" t="s">
        <v>184</v>
      </c>
      <c r="D99" s="358">
        <f t="shared" si="1"/>
        <v>10.2568</v>
      </c>
      <c r="E99" s="171"/>
      <c r="F99" s="175">
        <f>E82</f>
        <v>6.46</v>
      </c>
      <c r="G99" s="151"/>
      <c r="H99" s="158"/>
      <c r="O99" s="136" t="e">
        <f>D99/#REF!</f>
        <v>#REF!</v>
      </c>
      <c r="Q99" s="376">
        <v>10.2568</v>
      </c>
    </row>
    <row r="100" spans="1:17" x14ac:dyDescent="0.2">
      <c r="A100" s="169" t="s">
        <v>463</v>
      </c>
      <c r="B100" s="165" t="s">
        <v>464</v>
      </c>
      <c r="C100" s="169" t="s">
        <v>184</v>
      </c>
      <c r="D100" s="358">
        <f t="shared" si="1"/>
        <v>1.405</v>
      </c>
      <c r="E100" s="171"/>
      <c r="F100" s="174">
        <v>0.28000000000000003</v>
      </c>
      <c r="G100" s="151"/>
      <c r="H100" s="158"/>
      <c r="O100" s="136" t="e">
        <f>D100/#REF!</f>
        <v>#REF!</v>
      </c>
      <c r="Q100" s="376">
        <v>1.405</v>
      </c>
    </row>
    <row r="101" spans="1:17" x14ac:dyDescent="0.2">
      <c r="A101" s="365" t="s">
        <v>465</v>
      </c>
      <c r="B101" s="165" t="s">
        <v>466</v>
      </c>
      <c r="C101" s="169" t="s">
        <v>184</v>
      </c>
      <c r="D101" s="358">
        <f t="shared" si="1"/>
        <v>14.345000000000001</v>
      </c>
      <c r="E101" s="171">
        <f>E78</f>
        <v>0.39</v>
      </c>
      <c r="F101" s="175"/>
      <c r="G101" s="151"/>
      <c r="H101" s="158"/>
      <c r="O101" s="136" t="e">
        <f>D101/#REF!</f>
        <v>#REF!</v>
      </c>
      <c r="Q101" s="376">
        <v>14.345000000000001</v>
      </c>
    </row>
    <row r="102" spans="1:17" x14ac:dyDescent="0.2">
      <c r="A102" s="169" t="s">
        <v>467</v>
      </c>
      <c r="B102" s="165" t="s">
        <v>468</v>
      </c>
      <c r="C102" s="169" t="s">
        <v>184</v>
      </c>
      <c r="D102" s="358">
        <f t="shared" si="1"/>
        <v>9.6102000000000007</v>
      </c>
      <c r="E102" s="171"/>
      <c r="F102" s="174">
        <v>1.66</v>
      </c>
      <c r="G102" s="151"/>
      <c r="H102" s="158"/>
      <c r="O102" s="136" t="e">
        <f>D102/#REF!</f>
        <v>#REF!</v>
      </c>
      <c r="Q102" s="376">
        <v>9.6102000000000007</v>
      </c>
    </row>
    <row r="103" spans="1:17" x14ac:dyDescent="0.2">
      <c r="A103" s="365" t="s">
        <v>469</v>
      </c>
      <c r="B103" s="165" t="s">
        <v>470</v>
      </c>
      <c r="C103" s="169" t="s">
        <v>184</v>
      </c>
      <c r="D103" s="358">
        <f t="shared" si="1"/>
        <v>14.345000000000001</v>
      </c>
      <c r="E103" s="176">
        <f>E79</f>
        <v>1.3</v>
      </c>
      <c r="F103" s="175"/>
      <c r="G103" s="151"/>
      <c r="H103" s="158"/>
      <c r="O103" s="136" t="e">
        <f>D103/#REF!</f>
        <v>#REF!</v>
      </c>
      <c r="Q103" s="376">
        <v>14.345000000000001</v>
      </c>
    </row>
    <row r="104" spans="1:17" x14ac:dyDescent="0.2">
      <c r="A104" s="365" t="s">
        <v>471</v>
      </c>
      <c r="B104" s="165" t="s">
        <v>472</v>
      </c>
      <c r="C104" s="169" t="s">
        <v>184</v>
      </c>
      <c r="D104" s="358">
        <f t="shared" si="1"/>
        <v>14.345000000000001</v>
      </c>
      <c r="E104" s="171">
        <f>E77</f>
        <v>0.83</v>
      </c>
      <c r="F104" s="175"/>
      <c r="G104" s="177"/>
      <c r="H104" s="158"/>
      <c r="O104" s="136" t="e">
        <f>D104/#REF!</f>
        <v>#REF!</v>
      </c>
      <c r="Q104" s="376">
        <v>14.345000000000001</v>
      </c>
    </row>
    <row r="105" spans="1:17" x14ac:dyDescent="0.2">
      <c r="A105" s="169" t="s">
        <v>473</v>
      </c>
      <c r="B105" s="165" t="s">
        <v>474</v>
      </c>
      <c r="C105" s="169" t="s">
        <v>184</v>
      </c>
      <c r="D105" s="358">
        <f t="shared" si="1"/>
        <v>14.66</v>
      </c>
      <c r="E105" s="171"/>
      <c r="F105" s="172">
        <v>0.32500000000000001</v>
      </c>
      <c r="G105" s="177"/>
      <c r="H105" s="158"/>
      <c r="O105" s="136" t="e">
        <f>D105/#REF!</f>
        <v>#REF!</v>
      </c>
      <c r="Q105" s="376">
        <v>14.66</v>
      </c>
    </row>
    <row r="106" spans="1:17" x14ac:dyDescent="0.2">
      <c r="A106" s="138" t="s">
        <v>475</v>
      </c>
      <c r="B106" s="137" t="s">
        <v>476</v>
      </c>
      <c r="C106" s="138" t="s">
        <v>184</v>
      </c>
      <c r="D106" s="358">
        <f t="shared" si="1"/>
        <v>499156.92739999999</v>
      </c>
      <c r="E106" s="178">
        <v>72479.335900000005</v>
      </c>
      <c r="F106" s="179"/>
      <c r="G106" s="151"/>
      <c r="H106" s="158" t="s">
        <v>477</v>
      </c>
      <c r="L106" s="117">
        <v>1</v>
      </c>
      <c r="O106" s="136" t="e">
        <f>D106/#REF!</f>
        <v>#REF!</v>
      </c>
      <c r="Q106" s="376">
        <v>499156.92739999999</v>
      </c>
    </row>
    <row r="107" spans="1:17" x14ac:dyDescent="0.2">
      <c r="A107" s="138" t="s">
        <v>478</v>
      </c>
      <c r="B107" s="137" t="s">
        <v>476</v>
      </c>
      <c r="C107" s="138" t="s">
        <v>479</v>
      </c>
      <c r="D107" s="358">
        <f t="shared" si="1"/>
        <v>516774.7255</v>
      </c>
      <c r="E107" s="178">
        <v>0</v>
      </c>
      <c r="F107" s="179"/>
      <c r="G107" s="180"/>
      <c r="H107" s="158"/>
      <c r="K107" s="117">
        <f>87600/1.21</f>
        <v>72396.694214876028</v>
      </c>
      <c r="O107" s="136" t="e">
        <f>D107/#REF!</f>
        <v>#REF!</v>
      </c>
      <c r="Q107" s="376">
        <v>516774.7255</v>
      </c>
    </row>
    <row r="108" spans="1:17" x14ac:dyDescent="0.2">
      <c r="A108" s="138" t="s">
        <v>480</v>
      </c>
      <c r="B108" s="137" t="s">
        <v>481</v>
      </c>
      <c r="C108" s="138" t="s">
        <v>184</v>
      </c>
      <c r="D108" s="358">
        <f t="shared" si="1"/>
        <v>89592.7601</v>
      </c>
      <c r="E108" s="178">
        <v>12231.4053</v>
      </c>
      <c r="F108" s="143"/>
      <c r="G108" s="180"/>
      <c r="H108" s="158" t="s">
        <v>477</v>
      </c>
      <c r="L108" s="117">
        <v>1</v>
      </c>
      <c r="O108" s="136" t="e">
        <f>D108/#REF!</f>
        <v>#REF!</v>
      </c>
      <c r="Q108" s="376">
        <v>89592.7601</v>
      </c>
    </row>
    <row r="109" spans="1:17" x14ac:dyDescent="0.2">
      <c r="A109" s="138" t="s">
        <v>482</v>
      </c>
      <c r="B109" s="137" t="s">
        <v>483</v>
      </c>
      <c r="C109" s="138" t="s">
        <v>479</v>
      </c>
      <c r="D109" s="358">
        <f t="shared" si="1"/>
        <v>423.56</v>
      </c>
      <c r="E109" s="178">
        <v>72.429000000000002</v>
      </c>
      <c r="F109" s="181"/>
      <c r="G109" s="180"/>
      <c r="H109" s="158"/>
      <c r="O109" s="136" t="e">
        <f>D109/#REF!</f>
        <v>#REF!</v>
      </c>
      <c r="Q109" s="376">
        <v>423.56</v>
      </c>
    </row>
    <row r="110" spans="1:17" x14ac:dyDescent="0.2">
      <c r="A110" s="138" t="s">
        <v>484</v>
      </c>
      <c r="B110" s="137" t="s">
        <v>485</v>
      </c>
      <c r="C110" s="138" t="s">
        <v>479</v>
      </c>
      <c r="D110" s="358">
        <f t="shared" si="1"/>
        <v>652.89</v>
      </c>
      <c r="E110" s="178">
        <v>105.05</v>
      </c>
      <c r="F110" s="181"/>
      <c r="G110" s="151"/>
      <c r="H110" s="158"/>
      <c r="L110" s="117">
        <v>1</v>
      </c>
      <c r="O110" s="136" t="e">
        <f>D110/#REF!</f>
        <v>#REF!</v>
      </c>
      <c r="Q110" s="376">
        <v>652.89</v>
      </c>
    </row>
    <row r="111" spans="1:17" x14ac:dyDescent="0.2">
      <c r="A111" s="138" t="s">
        <v>486</v>
      </c>
      <c r="B111" s="137" t="s">
        <v>487</v>
      </c>
      <c r="C111" s="138" t="s">
        <v>479</v>
      </c>
      <c r="D111" s="358">
        <f t="shared" si="1"/>
        <v>345.83</v>
      </c>
      <c r="E111" s="178">
        <v>63.716000000000001</v>
      </c>
      <c r="F111" s="181"/>
      <c r="G111" s="182"/>
      <c r="H111" s="158"/>
      <c r="L111" s="117">
        <v>1</v>
      </c>
      <c r="O111" s="136" t="e">
        <f>D111/#REF!</f>
        <v>#REF!</v>
      </c>
      <c r="Q111" s="376">
        <v>345.83</v>
      </c>
    </row>
    <row r="112" spans="1:17" x14ac:dyDescent="0.2">
      <c r="A112" s="138" t="s">
        <v>488</v>
      </c>
      <c r="B112" s="137" t="s">
        <v>489</v>
      </c>
      <c r="C112" s="138" t="s">
        <v>301</v>
      </c>
      <c r="D112" s="358">
        <f t="shared" si="1"/>
        <v>6.9</v>
      </c>
      <c r="E112" s="178">
        <v>1.216</v>
      </c>
      <c r="F112" s="143"/>
      <c r="G112" s="180"/>
      <c r="H112" s="158" t="s">
        <v>477</v>
      </c>
      <c r="L112" s="117">
        <v>1</v>
      </c>
      <c r="O112" s="136" t="e">
        <f>D112/#REF!</f>
        <v>#REF!</v>
      </c>
      <c r="Q112" s="376">
        <v>6.9</v>
      </c>
    </row>
    <row r="113" spans="1:17" x14ac:dyDescent="0.2">
      <c r="A113" s="138" t="s">
        <v>490</v>
      </c>
      <c r="B113" s="137" t="s">
        <v>491</v>
      </c>
      <c r="C113" s="138" t="s">
        <v>184</v>
      </c>
      <c r="D113" s="358">
        <f t="shared" si="1"/>
        <v>949286.45</v>
      </c>
      <c r="E113" s="178">
        <v>255078.03</v>
      </c>
      <c r="F113" s="183"/>
      <c r="G113" s="182"/>
      <c r="H113" s="184"/>
      <c r="L113" s="117">
        <v>1</v>
      </c>
      <c r="O113" s="136" t="e">
        <f>D113/#REF!</f>
        <v>#REF!</v>
      </c>
      <c r="Q113" s="376">
        <v>949286.45</v>
      </c>
    </row>
    <row r="114" spans="1:17" x14ac:dyDescent="0.2">
      <c r="A114" s="138" t="s">
        <v>492</v>
      </c>
      <c r="B114" s="137" t="s">
        <v>491</v>
      </c>
      <c r="C114" s="138" t="s">
        <v>479</v>
      </c>
      <c r="D114" s="358">
        <f t="shared" si="1"/>
        <v>345.83</v>
      </c>
      <c r="E114" s="178">
        <v>63.716000000000001</v>
      </c>
      <c r="F114" s="181"/>
      <c r="G114" s="180"/>
      <c r="H114" s="184"/>
      <c r="O114" s="136" t="e">
        <f>D114/#REF!</f>
        <v>#REF!</v>
      </c>
      <c r="Q114" s="376">
        <v>345.83</v>
      </c>
    </row>
    <row r="115" spans="1:17" x14ac:dyDescent="0.2">
      <c r="A115" s="138" t="s">
        <v>493</v>
      </c>
      <c r="B115" s="137" t="s">
        <v>494</v>
      </c>
      <c r="C115" s="138" t="s">
        <v>184</v>
      </c>
      <c r="D115" s="358">
        <f t="shared" si="1"/>
        <v>1416550.7622</v>
      </c>
      <c r="E115" s="178">
        <v>413569.64</v>
      </c>
      <c r="F115" s="183"/>
      <c r="G115" s="182"/>
      <c r="H115" s="184"/>
      <c r="L115" s="117">
        <v>1</v>
      </c>
      <c r="O115" s="136" t="e">
        <f>D115/#REF!</f>
        <v>#REF!</v>
      </c>
      <c r="Q115" s="376">
        <v>1416550.7622</v>
      </c>
    </row>
    <row r="116" spans="1:17" x14ac:dyDescent="0.2">
      <c r="A116" s="138" t="s">
        <v>495</v>
      </c>
      <c r="B116" s="137" t="s">
        <v>496</v>
      </c>
      <c r="C116" s="138" t="s">
        <v>479</v>
      </c>
      <c r="D116" s="358">
        <f t="shared" si="1"/>
        <v>530.12</v>
      </c>
      <c r="E116" s="178">
        <v>105.834</v>
      </c>
      <c r="F116" s="181"/>
      <c r="G116" s="180"/>
      <c r="H116" s="184"/>
      <c r="O116" s="136" t="e">
        <f>D116/#REF!</f>
        <v>#REF!</v>
      </c>
      <c r="Q116" s="376">
        <v>530.12</v>
      </c>
    </row>
    <row r="117" spans="1:17" x14ac:dyDescent="0.2">
      <c r="A117" s="138" t="s">
        <v>497</v>
      </c>
      <c r="B117" s="137" t="s">
        <v>498</v>
      </c>
      <c r="C117" s="138" t="s">
        <v>184</v>
      </c>
      <c r="D117" s="358">
        <f t="shared" si="1"/>
        <v>999970.92</v>
      </c>
      <c r="E117" s="178">
        <v>212400</v>
      </c>
      <c r="F117" s="183"/>
      <c r="G117" s="182"/>
      <c r="H117" s="184"/>
      <c r="I117" s="158" t="s">
        <v>499</v>
      </c>
      <c r="L117" s="117">
        <v>1</v>
      </c>
      <c r="O117" s="136" t="e">
        <f>D117/#REF!</f>
        <v>#REF!</v>
      </c>
      <c r="Q117" s="376">
        <v>999970.92</v>
      </c>
    </row>
    <row r="118" spans="1:17" x14ac:dyDescent="0.2">
      <c r="A118" s="138" t="s">
        <v>500</v>
      </c>
      <c r="B118" s="137" t="s">
        <v>498</v>
      </c>
      <c r="C118" s="138" t="s">
        <v>479</v>
      </c>
      <c r="D118" s="358">
        <f t="shared" si="1"/>
        <v>423.56</v>
      </c>
      <c r="E118" s="178">
        <v>72.429000000000002</v>
      </c>
      <c r="F118" s="181"/>
      <c r="G118" s="180"/>
      <c r="H118" s="184"/>
      <c r="O118" s="185" t="e">
        <f>D118/#REF!</f>
        <v>#REF!</v>
      </c>
      <c r="Q118" s="376">
        <v>423.56</v>
      </c>
    </row>
    <row r="119" spans="1:17" x14ac:dyDescent="0.2">
      <c r="A119" s="138" t="s">
        <v>501</v>
      </c>
      <c r="B119" s="137" t="s">
        <v>502</v>
      </c>
      <c r="C119" s="138" t="s">
        <v>184</v>
      </c>
      <c r="D119" s="358">
        <f t="shared" si="1"/>
        <v>1291405.5083999999</v>
      </c>
      <c r="E119" s="178">
        <v>379549.53</v>
      </c>
      <c r="F119" s="183"/>
      <c r="G119" s="182"/>
      <c r="H119" s="184"/>
      <c r="L119" s="117">
        <v>1</v>
      </c>
      <c r="O119" s="185" t="e">
        <f>D119/#REF!</f>
        <v>#REF!</v>
      </c>
      <c r="Q119" s="376">
        <v>1291405.5083999999</v>
      </c>
    </row>
    <row r="120" spans="1:17" x14ac:dyDescent="0.2">
      <c r="A120" s="138" t="s">
        <v>503</v>
      </c>
      <c r="B120" s="137" t="s">
        <v>502</v>
      </c>
      <c r="C120" s="138" t="s">
        <v>479</v>
      </c>
      <c r="D120" s="358">
        <f t="shared" si="1"/>
        <v>414.97</v>
      </c>
      <c r="E120" s="178">
        <v>92.042000000000002</v>
      </c>
      <c r="F120" s="181"/>
      <c r="G120" s="180"/>
      <c r="H120" s="184"/>
      <c r="O120" s="185" t="e">
        <f>D120/#REF!</f>
        <v>#REF!</v>
      </c>
      <c r="Q120" s="376">
        <v>414.97</v>
      </c>
    </row>
    <row r="121" spans="1:17" ht="14.25" customHeight="1" x14ac:dyDescent="0.2">
      <c r="A121" s="138" t="s">
        <v>504</v>
      </c>
      <c r="B121" s="137" t="s">
        <v>505</v>
      </c>
      <c r="C121" s="138" t="s">
        <v>184</v>
      </c>
      <c r="D121" s="358">
        <f t="shared" si="1"/>
        <v>828421.28</v>
      </c>
      <c r="E121" s="178">
        <v>236000</v>
      </c>
      <c r="F121" s="183"/>
      <c r="G121" s="182"/>
      <c r="H121" s="184"/>
      <c r="L121" s="117">
        <v>1</v>
      </c>
      <c r="O121" s="185" t="e">
        <f>D121/#REF!</f>
        <v>#REF!</v>
      </c>
      <c r="Q121" s="376">
        <v>828421.28</v>
      </c>
    </row>
    <row r="122" spans="1:17" x14ac:dyDescent="0.2">
      <c r="A122" s="138" t="s">
        <v>506</v>
      </c>
      <c r="B122" s="137" t="s">
        <v>505</v>
      </c>
      <c r="C122" s="138" t="s">
        <v>479</v>
      </c>
      <c r="D122" s="358">
        <f t="shared" si="1"/>
        <v>262.17</v>
      </c>
      <c r="E122" s="178">
        <v>57.27</v>
      </c>
      <c r="F122" s="181"/>
      <c r="G122" s="180"/>
      <c r="H122" s="184"/>
      <c r="I122" s="186" t="s">
        <v>507</v>
      </c>
      <c r="O122" s="185" t="e">
        <f>D122/#REF!</f>
        <v>#REF!</v>
      </c>
      <c r="Q122" s="376">
        <v>262.17</v>
      </c>
    </row>
    <row r="123" spans="1:17" x14ac:dyDescent="0.2">
      <c r="A123" s="138" t="s">
        <v>508</v>
      </c>
      <c r="B123" s="137" t="s">
        <v>509</v>
      </c>
      <c r="C123" s="138" t="s">
        <v>184</v>
      </c>
      <c r="D123" s="358">
        <f t="shared" si="1"/>
        <v>1041480.91</v>
      </c>
      <c r="E123" s="178">
        <v>374650</v>
      </c>
      <c r="F123" s="183"/>
      <c r="G123" s="182"/>
      <c r="H123" s="184"/>
      <c r="L123" s="117">
        <v>1</v>
      </c>
      <c r="O123" s="185" t="e">
        <f>D123/#REF!</f>
        <v>#REF!</v>
      </c>
      <c r="Q123" s="376">
        <v>1041480.91</v>
      </c>
    </row>
    <row r="124" spans="1:17" x14ac:dyDescent="0.2">
      <c r="A124" s="138" t="s">
        <v>510</v>
      </c>
      <c r="B124" s="137" t="s">
        <v>509</v>
      </c>
      <c r="C124" s="138" t="s">
        <v>479</v>
      </c>
      <c r="D124" s="358">
        <f t="shared" si="1"/>
        <v>356.42</v>
      </c>
      <c r="E124" s="178">
        <v>86.679000000000002</v>
      </c>
      <c r="F124" s="181"/>
      <c r="G124" s="180"/>
      <c r="H124" s="152"/>
      <c r="O124" s="185" t="e">
        <f>D124/#REF!</f>
        <v>#REF!</v>
      </c>
      <c r="Q124" s="376">
        <v>356.42</v>
      </c>
    </row>
    <row r="125" spans="1:17" x14ac:dyDescent="0.2">
      <c r="A125" s="138" t="s">
        <v>511</v>
      </c>
      <c r="B125" s="137" t="s">
        <v>512</v>
      </c>
      <c r="C125" s="138" t="s">
        <v>184</v>
      </c>
      <c r="D125" s="358">
        <f t="shared" si="1"/>
        <v>1562879.48</v>
      </c>
      <c r="E125" s="178">
        <v>295000</v>
      </c>
      <c r="F125" s="183"/>
      <c r="G125" s="182"/>
      <c r="H125" s="184"/>
      <c r="L125" s="117">
        <v>1</v>
      </c>
      <c r="O125" s="185" t="e">
        <f>D125/#REF!</f>
        <v>#REF!</v>
      </c>
      <c r="Q125" s="376">
        <v>1562879.48</v>
      </c>
    </row>
    <row r="126" spans="1:17" x14ac:dyDescent="0.2">
      <c r="A126" s="138" t="s">
        <v>513</v>
      </c>
      <c r="B126" s="137" t="s">
        <v>514</v>
      </c>
      <c r="C126" s="138" t="s">
        <v>479</v>
      </c>
      <c r="D126" s="358">
        <f t="shared" si="1"/>
        <v>629.37</v>
      </c>
      <c r="E126" s="178">
        <v>105.05</v>
      </c>
      <c r="F126" s="181"/>
      <c r="G126" s="180"/>
      <c r="H126" s="184"/>
      <c r="O126" s="185" t="e">
        <f>D126/#REF!</f>
        <v>#REF!</v>
      </c>
      <c r="Q126" s="376">
        <v>629.37</v>
      </c>
    </row>
    <row r="127" spans="1:17" x14ac:dyDescent="0.2">
      <c r="A127" s="138" t="s">
        <v>515</v>
      </c>
      <c r="B127" s="137" t="s">
        <v>516</v>
      </c>
      <c r="C127" s="138" t="s">
        <v>184</v>
      </c>
      <c r="D127" s="358">
        <f t="shared" si="1"/>
        <v>636625.88</v>
      </c>
      <c r="E127" s="178">
        <v>177000</v>
      </c>
      <c r="F127" s="183"/>
      <c r="G127" s="182"/>
      <c r="H127" s="184"/>
      <c r="L127" s="117">
        <v>1</v>
      </c>
      <c r="O127" s="185" t="e">
        <f>D127/#REF!</f>
        <v>#REF!</v>
      </c>
      <c r="Q127" s="376">
        <v>636625.88</v>
      </c>
    </row>
    <row r="128" spans="1:17" x14ac:dyDescent="0.2">
      <c r="A128" s="138" t="s">
        <v>517</v>
      </c>
      <c r="B128" s="137" t="s">
        <v>518</v>
      </c>
      <c r="C128" s="138" t="s">
        <v>479</v>
      </c>
      <c r="D128" s="358">
        <f t="shared" si="1"/>
        <v>224.44</v>
      </c>
      <c r="E128" s="178">
        <v>43.075000000000003</v>
      </c>
      <c r="F128" s="181"/>
      <c r="G128" s="180"/>
      <c r="H128" s="184"/>
      <c r="O128" s="185" t="e">
        <f>D128/#REF!</f>
        <v>#REF!</v>
      </c>
      <c r="Q128" s="376">
        <v>224.44</v>
      </c>
    </row>
    <row r="129" spans="1:17" x14ac:dyDescent="0.2">
      <c r="A129" s="138" t="s">
        <v>519</v>
      </c>
      <c r="B129" s="137" t="s">
        <v>520</v>
      </c>
      <c r="C129" s="138" t="s">
        <v>184</v>
      </c>
      <c r="D129" s="358">
        <f t="shared" si="1"/>
        <v>2097012.1329999999</v>
      </c>
      <c r="E129" s="178">
        <v>610060</v>
      </c>
      <c r="F129" s="183"/>
      <c r="G129" s="182"/>
      <c r="H129" s="184"/>
      <c r="L129" s="117">
        <v>1</v>
      </c>
      <c r="O129" s="185" t="e">
        <f>D129/#REF!</f>
        <v>#REF!</v>
      </c>
      <c r="Q129" s="376">
        <v>2097012.1329999999</v>
      </c>
    </row>
    <row r="130" spans="1:17" x14ac:dyDescent="0.2">
      <c r="A130" s="138" t="s">
        <v>521</v>
      </c>
      <c r="B130" s="137" t="s">
        <v>520</v>
      </c>
      <c r="C130" s="138" t="s">
        <v>479</v>
      </c>
      <c r="D130" s="358">
        <f t="shared" si="1"/>
        <v>597.69000000000005</v>
      </c>
      <c r="E130" s="178">
        <v>135.452</v>
      </c>
      <c r="F130" s="181"/>
      <c r="G130" s="177"/>
      <c r="H130" s="184"/>
      <c r="O130" s="185" t="e">
        <f>D130/#REF!</f>
        <v>#REF!</v>
      </c>
      <c r="Q130" s="376">
        <v>597.69000000000005</v>
      </c>
    </row>
    <row r="131" spans="1:17" x14ac:dyDescent="0.2">
      <c r="A131" s="138" t="s">
        <v>522</v>
      </c>
      <c r="B131" s="137" t="s">
        <v>523</v>
      </c>
      <c r="C131" s="138" t="s">
        <v>184</v>
      </c>
      <c r="D131" s="358">
        <f t="shared" si="1"/>
        <v>23967.56</v>
      </c>
      <c r="E131" s="187">
        <f>2000*D195</f>
        <v>14080</v>
      </c>
      <c r="F131" s="183"/>
      <c r="G131" s="177"/>
      <c r="H131" s="184"/>
      <c r="L131" s="117">
        <v>1</v>
      </c>
      <c r="O131" s="185" t="e">
        <f>D131/#REF!</f>
        <v>#REF!</v>
      </c>
      <c r="Q131" s="376">
        <v>23967.56</v>
      </c>
    </row>
    <row r="132" spans="1:17" ht="15" customHeight="1" x14ac:dyDescent="0.2">
      <c r="A132" s="138" t="s">
        <v>524</v>
      </c>
      <c r="B132" s="137" t="s">
        <v>523</v>
      </c>
      <c r="C132" s="138" t="s">
        <v>479</v>
      </c>
      <c r="D132" s="358">
        <f t="shared" si="1"/>
        <v>23967.56</v>
      </c>
      <c r="E132" s="188">
        <v>0</v>
      </c>
      <c r="F132" s="181"/>
      <c r="G132" s="151"/>
      <c r="H132" s="184"/>
      <c r="O132" s="185" t="e">
        <f>D132/#REF!</f>
        <v>#REF!</v>
      </c>
      <c r="Q132" s="376">
        <v>23967.56</v>
      </c>
    </row>
    <row r="133" spans="1:17" x14ac:dyDescent="0.2">
      <c r="A133" s="138" t="s">
        <v>525</v>
      </c>
      <c r="B133" s="137" t="s">
        <v>526</v>
      </c>
      <c r="C133" s="138" t="s">
        <v>184</v>
      </c>
      <c r="D133" s="358">
        <f t="shared" si="1"/>
        <v>5245.55</v>
      </c>
      <c r="E133" s="187">
        <f>1650*D195</f>
        <v>11616</v>
      </c>
      <c r="F133" s="183"/>
      <c r="G133" s="180"/>
      <c r="H133" s="184"/>
      <c r="L133" s="117">
        <v>1</v>
      </c>
      <c r="O133" s="185" t="e">
        <f>D133/#REF!</f>
        <v>#REF!</v>
      </c>
      <c r="Q133" s="376">
        <v>5245.55</v>
      </c>
    </row>
    <row r="134" spans="1:17" ht="15" customHeight="1" x14ac:dyDescent="0.2">
      <c r="A134" s="138" t="s">
        <v>527</v>
      </c>
      <c r="B134" s="137" t="s">
        <v>526</v>
      </c>
      <c r="C134" s="138" t="s">
        <v>479</v>
      </c>
      <c r="D134" s="358">
        <f t="shared" si="1"/>
        <v>5245.55</v>
      </c>
      <c r="E134" s="188">
        <v>0</v>
      </c>
      <c r="F134" s="181"/>
      <c r="G134" s="180"/>
      <c r="H134" s="158"/>
      <c r="O134" s="185" t="e">
        <f>D134/#REF!</f>
        <v>#REF!</v>
      </c>
      <c r="Q134" s="376">
        <v>5245.55</v>
      </c>
    </row>
    <row r="135" spans="1:17" x14ac:dyDescent="0.2">
      <c r="A135" s="138" t="s">
        <v>528</v>
      </c>
      <c r="B135" s="137" t="s">
        <v>529</v>
      </c>
      <c r="C135" s="138" t="s">
        <v>184</v>
      </c>
      <c r="D135" s="358">
        <f t="shared" si="1"/>
        <v>1775325.2379000001</v>
      </c>
      <c r="E135" s="187">
        <f>135000*D195</f>
        <v>950400</v>
      </c>
      <c r="F135" s="183"/>
      <c r="G135" s="182"/>
      <c r="H135" s="158"/>
      <c r="L135" s="117">
        <v>1</v>
      </c>
      <c r="O135" s="185" t="e">
        <f>D135/#REF!</f>
        <v>#REF!</v>
      </c>
      <c r="Q135" s="376">
        <v>1775325.2379000001</v>
      </c>
    </row>
    <row r="136" spans="1:17" ht="15" customHeight="1" x14ac:dyDescent="0.2">
      <c r="A136" s="138" t="s">
        <v>530</v>
      </c>
      <c r="B136" s="137" t="s">
        <v>529</v>
      </c>
      <c r="C136" s="138" t="s">
        <v>479</v>
      </c>
      <c r="D136" s="358">
        <f t="shared" ref="D136:D199" si="2">Q136</f>
        <v>200530.32</v>
      </c>
      <c r="E136" s="188">
        <v>0</v>
      </c>
      <c r="F136" s="181"/>
      <c r="G136" s="180"/>
      <c r="H136" s="158"/>
      <c r="O136" s="185" t="e">
        <f>D136/#REF!</f>
        <v>#REF!</v>
      </c>
      <c r="Q136" s="376">
        <v>200530.32</v>
      </c>
    </row>
    <row r="137" spans="1:17" x14ac:dyDescent="0.2">
      <c r="A137" s="138" t="s">
        <v>531</v>
      </c>
      <c r="B137" s="137" t="s">
        <v>532</v>
      </c>
      <c r="C137" s="138" t="s">
        <v>184</v>
      </c>
      <c r="D137" s="358">
        <f t="shared" si="2"/>
        <v>23738.5681</v>
      </c>
      <c r="E137" s="187">
        <f>2500*D195</f>
        <v>17600</v>
      </c>
      <c r="F137" s="183"/>
      <c r="G137" s="182"/>
      <c r="H137" s="158"/>
      <c r="L137" s="117">
        <v>1</v>
      </c>
      <c r="O137" s="185" t="e">
        <f>D137/#REF!</f>
        <v>#REF!</v>
      </c>
      <c r="Q137" s="376">
        <v>23738.5681</v>
      </c>
    </row>
    <row r="138" spans="1:17" ht="15" customHeight="1" x14ac:dyDescent="0.2">
      <c r="A138" s="138" t="s">
        <v>533</v>
      </c>
      <c r="B138" s="137" t="s">
        <v>532</v>
      </c>
      <c r="C138" s="138" t="s">
        <v>479</v>
      </c>
      <c r="D138" s="358">
        <f t="shared" si="2"/>
        <v>17109.63</v>
      </c>
      <c r="E138" s="188">
        <v>0</v>
      </c>
      <c r="F138" s="181"/>
      <c r="G138" s="180"/>
      <c r="H138" s="158"/>
      <c r="O138" s="185" t="e">
        <f>D138/#REF!</f>
        <v>#REF!</v>
      </c>
      <c r="Q138" s="376">
        <v>17109.63</v>
      </c>
    </row>
    <row r="139" spans="1:17" x14ac:dyDescent="0.2">
      <c r="A139" s="138" t="s">
        <v>534</v>
      </c>
      <c r="B139" s="137" t="s">
        <v>535</v>
      </c>
      <c r="C139" s="138" t="s">
        <v>184</v>
      </c>
      <c r="D139" s="358">
        <f t="shared" si="2"/>
        <v>74183.98</v>
      </c>
      <c r="E139" s="187">
        <f>4000*D195</f>
        <v>28160</v>
      </c>
      <c r="F139" s="183"/>
      <c r="G139" s="182"/>
      <c r="H139" s="184"/>
      <c r="L139" s="117">
        <v>1</v>
      </c>
      <c r="O139" s="185" t="e">
        <f>D139/#REF!</f>
        <v>#REF!</v>
      </c>
      <c r="Q139" s="376">
        <v>74183.98</v>
      </c>
    </row>
    <row r="140" spans="1:17" ht="15" customHeight="1" x14ac:dyDescent="0.2">
      <c r="A140" s="138" t="s">
        <v>536</v>
      </c>
      <c r="B140" s="137" t="s">
        <v>535</v>
      </c>
      <c r="C140" s="138" t="s">
        <v>479</v>
      </c>
      <c r="D140" s="358">
        <f t="shared" si="2"/>
        <v>74183.98</v>
      </c>
      <c r="E140" s="188">
        <v>0</v>
      </c>
      <c r="F140" s="181"/>
      <c r="G140" s="180"/>
      <c r="H140" s="184"/>
      <c r="O140" s="185" t="e">
        <f>D140/#REF!</f>
        <v>#REF!</v>
      </c>
      <c r="Q140" s="376">
        <v>74183.98</v>
      </c>
    </row>
    <row r="141" spans="1:17" x14ac:dyDescent="0.2">
      <c r="A141" s="138" t="s">
        <v>537</v>
      </c>
      <c r="B141" s="137" t="s">
        <v>538</v>
      </c>
      <c r="C141" s="138" t="s">
        <v>184</v>
      </c>
      <c r="D141" s="358">
        <f t="shared" si="2"/>
        <v>216099.34</v>
      </c>
      <c r="E141" s="187">
        <f>23000*D195</f>
        <v>161920</v>
      </c>
      <c r="F141" s="183"/>
      <c r="G141" s="182"/>
      <c r="H141" s="184"/>
      <c r="L141" s="117">
        <v>1</v>
      </c>
      <c r="O141" s="185" t="e">
        <f>D141/#REF!</f>
        <v>#REF!</v>
      </c>
      <c r="Q141" s="376">
        <v>216099.34</v>
      </c>
    </row>
    <row r="142" spans="1:17" ht="15" customHeight="1" x14ac:dyDescent="0.2">
      <c r="A142" s="138" t="s">
        <v>539</v>
      </c>
      <c r="B142" s="137" t="s">
        <v>538</v>
      </c>
      <c r="C142" s="138" t="s">
        <v>479</v>
      </c>
      <c r="D142" s="358">
        <f t="shared" si="2"/>
        <v>216099.34</v>
      </c>
      <c r="E142" s="188">
        <v>0</v>
      </c>
      <c r="F142" s="189"/>
      <c r="G142" s="180"/>
      <c r="H142" s="184"/>
      <c r="O142" s="185" t="e">
        <f>D142/#REF!</f>
        <v>#REF!</v>
      </c>
      <c r="Q142" s="376">
        <v>216099.34</v>
      </c>
    </row>
    <row r="143" spans="1:17" x14ac:dyDescent="0.2">
      <c r="A143" s="138" t="s">
        <v>540</v>
      </c>
      <c r="B143" s="137" t="s">
        <v>541</v>
      </c>
      <c r="C143" s="138" t="s">
        <v>184</v>
      </c>
      <c r="D143" s="358">
        <f t="shared" si="2"/>
        <v>140934.48000000001</v>
      </c>
      <c r="E143" s="187">
        <f>15000*D195</f>
        <v>105600</v>
      </c>
      <c r="F143" s="183"/>
      <c r="G143" s="182"/>
      <c r="H143" s="184"/>
      <c r="L143" s="117">
        <v>1</v>
      </c>
      <c r="O143" s="185" t="e">
        <f>D143/#REF!</f>
        <v>#REF!</v>
      </c>
      <c r="Q143" s="376">
        <v>140934.48000000001</v>
      </c>
    </row>
    <row r="144" spans="1:17" ht="15" customHeight="1" x14ac:dyDescent="0.2">
      <c r="A144" s="138" t="s">
        <v>542</v>
      </c>
      <c r="B144" s="137" t="s">
        <v>541</v>
      </c>
      <c r="C144" s="138" t="s">
        <v>479</v>
      </c>
      <c r="D144" s="358">
        <f t="shared" si="2"/>
        <v>140934.48000000001</v>
      </c>
      <c r="E144" s="188">
        <v>0</v>
      </c>
      <c r="F144" s="189"/>
      <c r="G144" s="182"/>
      <c r="H144" s="158"/>
      <c r="O144" s="185" t="e">
        <f>D144/#REF!</f>
        <v>#REF!</v>
      </c>
      <c r="Q144" s="376">
        <v>140934.48000000001</v>
      </c>
    </row>
    <row r="145" spans="1:17" x14ac:dyDescent="0.2">
      <c r="A145" s="138" t="s">
        <v>543</v>
      </c>
      <c r="B145" s="137" t="s">
        <v>544</v>
      </c>
      <c r="C145" s="138" t="s">
        <v>184</v>
      </c>
      <c r="D145" s="358">
        <f t="shared" si="2"/>
        <v>159725.57999999999</v>
      </c>
      <c r="E145" s="187">
        <f>17000*D195</f>
        <v>119680</v>
      </c>
      <c r="F145" s="183"/>
      <c r="G145" s="182"/>
      <c r="H145" s="158"/>
      <c r="L145" s="117">
        <v>1</v>
      </c>
      <c r="O145" s="185" t="e">
        <f>D145/#REF!</f>
        <v>#REF!</v>
      </c>
      <c r="Q145" s="376">
        <v>159725.57999999999</v>
      </c>
    </row>
    <row r="146" spans="1:17" ht="15" customHeight="1" x14ac:dyDescent="0.2">
      <c r="A146" s="138" t="s">
        <v>545</v>
      </c>
      <c r="B146" s="137" t="s">
        <v>544</v>
      </c>
      <c r="C146" s="138" t="s">
        <v>479</v>
      </c>
      <c r="D146" s="358">
        <f t="shared" si="2"/>
        <v>159725.57999999999</v>
      </c>
      <c r="E146" s="188">
        <v>0</v>
      </c>
      <c r="F146" s="189"/>
      <c r="G146" s="180"/>
      <c r="H146" s="158"/>
      <c r="O146" s="185" t="e">
        <f>D146/#REF!</f>
        <v>#REF!</v>
      </c>
      <c r="Q146" s="376">
        <v>159725.57999999999</v>
      </c>
    </row>
    <row r="147" spans="1:17" x14ac:dyDescent="0.2">
      <c r="A147" s="138" t="s">
        <v>546</v>
      </c>
      <c r="B147" s="137" t="s">
        <v>547</v>
      </c>
      <c r="C147" s="138" t="s">
        <v>184</v>
      </c>
      <c r="D147" s="358">
        <f t="shared" si="2"/>
        <v>62699.369200000001</v>
      </c>
      <c r="E147" s="187">
        <f>5000*D195</f>
        <v>35200</v>
      </c>
      <c r="F147" s="183"/>
      <c r="G147" s="182"/>
      <c r="H147" s="158"/>
      <c r="L147" s="117">
        <v>1</v>
      </c>
      <c r="O147" s="185" t="e">
        <f>D147/#REF!</f>
        <v>#REF!</v>
      </c>
      <c r="Q147" s="376">
        <v>62699.369200000001</v>
      </c>
    </row>
    <row r="148" spans="1:17" ht="15" customHeight="1" x14ac:dyDescent="0.2">
      <c r="A148" s="138" t="s">
        <v>548</v>
      </c>
      <c r="B148" s="137" t="s">
        <v>547</v>
      </c>
      <c r="C148" s="138" t="s">
        <v>479</v>
      </c>
      <c r="D148" s="358">
        <f t="shared" si="2"/>
        <v>69411.287299999996</v>
      </c>
      <c r="E148" s="188">
        <v>0</v>
      </c>
      <c r="F148" s="181"/>
      <c r="G148" s="180"/>
      <c r="H148" s="158"/>
      <c r="I148" s="190">
        <v>5900</v>
      </c>
      <c r="O148" s="185" t="e">
        <f>D148/#REF!</f>
        <v>#REF!</v>
      </c>
      <c r="Q148" s="376">
        <v>69411.287299999996</v>
      </c>
    </row>
    <row r="149" spans="1:17" x14ac:dyDescent="0.2">
      <c r="A149" s="138" t="s">
        <v>549</v>
      </c>
      <c r="B149" s="137" t="s">
        <v>550</v>
      </c>
      <c r="C149" s="138" t="s">
        <v>184</v>
      </c>
      <c r="D149" s="358">
        <f t="shared" si="2"/>
        <v>703395.9</v>
      </c>
      <c r="E149" s="187">
        <f>23500*D195</f>
        <v>165440</v>
      </c>
      <c r="F149" s="183"/>
      <c r="G149" s="182"/>
      <c r="L149" s="117">
        <v>1</v>
      </c>
      <c r="O149" s="185" t="e">
        <f>D149/#REF!</f>
        <v>#REF!</v>
      </c>
      <c r="Q149" s="376">
        <v>703395.9</v>
      </c>
    </row>
    <row r="150" spans="1:17" x14ac:dyDescent="0.2">
      <c r="A150" s="138" t="s">
        <v>551</v>
      </c>
      <c r="B150" s="137" t="s">
        <v>550</v>
      </c>
      <c r="C150" s="138" t="s">
        <v>479</v>
      </c>
      <c r="D150" s="358">
        <f t="shared" si="2"/>
        <v>703395.9</v>
      </c>
      <c r="E150" s="188">
        <v>0</v>
      </c>
      <c r="F150" s="181"/>
      <c r="G150" s="180"/>
      <c r="H150" s="158"/>
      <c r="O150" s="185" t="e">
        <f>D150/#REF!</f>
        <v>#REF!</v>
      </c>
      <c r="Q150" s="376">
        <v>703395.9</v>
      </c>
    </row>
    <row r="151" spans="1:17" x14ac:dyDescent="0.2">
      <c r="A151" s="138" t="s">
        <v>552</v>
      </c>
      <c r="B151" s="137" t="s">
        <v>553</v>
      </c>
      <c r="C151" s="138" t="s">
        <v>184</v>
      </c>
      <c r="D151" s="358">
        <f t="shared" si="2"/>
        <v>17637.71</v>
      </c>
      <c r="E151" s="187">
        <f>2000*D195</f>
        <v>14080</v>
      </c>
      <c r="F151" s="183"/>
      <c r="G151" s="182"/>
      <c r="H151" s="191"/>
      <c r="L151" s="117">
        <v>1</v>
      </c>
      <c r="O151" s="185" t="e">
        <f>D151/#REF!</f>
        <v>#REF!</v>
      </c>
      <c r="Q151" s="376">
        <v>17637.71</v>
      </c>
    </row>
    <row r="152" spans="1:17" x14ac:dyDescent="0.2">
      <c r="A152" s="138" t="s">
        <v>554</v>
      </c>
      <c r="B152" s="137" t="s">
        <v>553</v>
      </c>
      <c r="C152" s="138" t="s">
        <v>479</v>
      </c>
      <c r="D152" s="358">
        <f t="shared" si="2"/>
        <v>17637.71</v>
      </c>
      <c r="E152" s="188">
        <v>0</v>
      </c>
      <c r="F152" s="181"/>
      <c r="G152" s="180"/>
      <c r="H152" s="158"/>
      <c r="I152" s="117">
        <f>750+85+21</f>
        <v>856</v>
      </c>
      <c r="O152" s="185" t="e">
        <f>D152/#REF!</f>
        <v>#REF!</v>
      </c>
      <c r="Q152" s="376">
        <v>17637.71</v>
      </c>
    </row>
    <row r="153" spans="1:17" x14ac:dyDescent="0.2">
      <c r="A153" s="138" t="s">
        <v>555</v>
      </c>
      <c r="B153" s="137" t="s">
        <v>556</v>
      </c>
      <c r="C153" s="138" t="s">
        <v>184</v>
      </c>
      <c r="D153" s="358">
        <f t="shared" si="2"/>
        <v>18780</v>
      </c>
      <c r="E153" s="192"/>
      <c r="F153" s="183"/>
      <c r="G153" s="193">
        <v>2891</v>
      </c>
      <c r="H153" s="194" t="s">
        <v>557</v>
      </c>
      <c r="L153" s="117">
        <v>1</v>
      </c>
      <c r="O153" s="185" t="e">
        <f>D153/#REF!</f>
        <v>#REF!</v>
      </c>
      <c r="Q153" s="376">
        <v>18780</v>
      </c>
    </row>
    <row r="154" spans="1:17" x14ac:dyDescent="0.2">
      <c r="A154" s="138" t="s">
        <v>558</v>
      </c>
      <c r="B154" s="137" t="s">
        <v>556</v>
      </c>
      <c r="C154" s="138" t="s">
        <v>479</v>
      </c>
      <c r="D154" s="358">
        <f t="shared" si="2"/>
        <v>18780</v>
      </c>
      <c r="E154" s="188"/>
      <c r="F154" s="181"/>
      <c r="G154" s="180"/>
      <c r="H154" s="158"/>
      <c r="O154" s="185" t="e">
        <f>D154/#REF!</f>
        <v>#REF!</v>
      </c>
      <c r="Q154" s="376">
        <v>18780</v>
      </c>
    </row>
    <row r="155" spans="1:17" x14ac:dyDescent="0.2">
      <c r="A155" s="138" t="s">
        <v>559</v>
      </c>
      <c r="B155" s="137" t="s">
        <v>560</v>
      </c>
      <c r="C155" s="138" t="s">
        <v>184</v>
      </c>
      <c r="D155" s="358">
        <f t="shared" si="2"/>
        <v>18780</v>
      </c>
      <c r="E155" s="192"/>
      <c r="F155" s="183"/>
      <c r="G155" s="193">
        <f>2489*D195</f>
        <v>17522.560000000001</v>
      </c>
      <c r="H155" s="194" t="s">
        <v>561</v>
      </c>
      <c r="L155" s="117">
        <v>1</v>
      </c>
      <c r="O155" s="185" t="e">
        <f>D155/#REF!</f>
        <v>#REF!</v>
      </c>
      <c r="Q155" s="376">
        <v>18780</v>
      </c>
    </row>
    <row r="156" spans="1:17" x14ac:dyDescent="0.2">
      <c r="A156" s="138" t="s">
        <v>562</v>
      </c>
      <c r="B156" s="137" t="s">
        <v>563</v>
      </c>
      <c r="C156" s="138" t="s">
        <v>479</v>
      </c>
      <c r="D156" s="358">
        <f t="shared" si="2"/>
        <v>18780</v>
      </c>
      <c r="E156" s="188"/>
      <c r="F156" s="181"/>
      <c r="G156" s="180"/>
      <c r="H156" s="158"/>
      <c r="O156" s="185" t="e">
        <f>D156/#REF!</f>
        <v>#REF!</v>
      </c>
      <c r="Q156" s="376">
        <v>18780</v>
      </c>
    </row>
    <row r="157" spans="1:17" x14ac:dyDescent="0.2">
      <c r="A157" s="138" t="s">
        <v>564</v>
      </c>
      <c r="B157" s="137" t="s">
        <v>565</v>
      </c>
      <c r="C157" s="138" t="s">
        <v>184</v>
      </c>
      <c r="D157" s="358">
        <f t="shared" si="2"/>
        <v>158422.5</v>
      </c>
      <c r="E157" s="192"/>
      <c r="F157" s="183"/>
      <c r="G157" s="193">
        <v>44250</v>
      </c>
      <c r="H157" s="194" t="s">
        <v>566</v>
      </c>
      <c r="L157" s="117">
        <v>1</v>
      </c>
      <c r="O157" s="185" t="e">
        <f>D157/#REF!</f>
        <v>#REF!</v>
      </c>
      <c r="Q157" s="376">
        <v>158422.5</v>
      </c>
    </row>
    <row r="158" spans="1:17" x14ac:dyDescent="0.2">
      <c r="A158" s="138" t="s">
        <v>567</v>
      </c>
      <c r="B158" s="137" t="s">
        <v>568</v>
      </c>
      <c r="C158" s="138" t="s">
        <v>479</v>
      </c>
      <c r="D158" s="358">
        <f t="shared" si="2"/>
        <v>158422.5</v>
      </c>
      <c r="E158" s="188"/>
      <c r="F158" s="181"/>
      <c r="G158" s="180"/>
      <c r="H158" s="158"/>
      <c r="O158" s="185" t="e">
        <f>D158/#REF!</f>
        <v>#REF!</v>
      </c>
      <c r="Q158" s="376">
        <v>158422.5</v>
      </c>
    </row>
    <row r="159" spans="1:17" x14ac:dyDescent="0.2">
      <c r="A159" s="138" t="s">
        <v>569</v>
      </c>
      <c r="B159" s="137" t="s">
        <v>570</v>
      </c>
      <c r="C159" s="138" t="s">
        <v>184</v>
      </c>
      <c r="D159" s="358">
        <f t="shared" si="2"/>
        <v>158422.5</v>
      </c>
      <c r="E159" s="192"/>
      <c r="F159" s="183"/>
      <c r="G159" s="193">
        <v>63130</v>
      </c>
      <c r="H159" s="194" t="s">
        <v>566</v>
      </c>
      <c r="L159" s="117">
        <v>1</v>
      </c>
      <c r="O159" s="185" t="e">
        <f>D159/#REF!</f>
        <v>#REF!</v>
      </c>
      <c r="Q159" s="376">
        <v>158422.5</v>
      </c>
    </row>
    <row r="160" spans="1:17" x14ac:dyDescent="0.2">
      <c r="A160" s="138" t="s">
        <v>571</v>
      </c>
      <c r="B160" s="137" t="s">
        <v>572</v>
      </c>
      <c r="C160" s="138" t="s">
        <v>479</v>
      </c>
      <c r="D160" s="358">
        <f t="shared" si="2"/>
        <v>158422.5</v>
      </c>
      <c r="E160" s="188"/>
      <c r="F160" s="181"/>
      <c r="G160" s="180"/>
      <c r="H160" s="158"/>
      <c r="O160" s="185" t="e">
        <f>D160/#REF!</f>
        <v>#REF!</v>
      </c>
      <c r="Q160" s="376">
        <v>158422.5</v>
      </c>
    </row>
    <row r="161" spans="1:17" x14ac:dyDescent="0.2">
      <c r="A161" s="138" t="s">
        <v>573</v>
      </c>
      <c r="B161" s="137" t="s">
        <v>574</v>
      </c>
      <c r="C161" s="138" t="s">
        <v>184</v>
      </c>
      <c r="D161" s="358">
        <f t="shared" si="2"/>
        <v>97000</v>
      </c>
      <c r="E161" s="192"/>
      <c r="F161" s="183"/>
      <c r="G161" s="195">
        <v>28900</v>
      </c>
      <c r="H161" s="194" t="s">
        <v>575</v>
      </c>
      <c r="L161" s="117">
        <v>1</v>
      </c>
      <c r="O161" s="185" t="e">
        <f>D161/#REF!</f>
        <v>#REF!</v>
      </c>
      <c r="Q161" s="376">
        <v>97000</v>
      </c>
    </row>
    <row r="162" spans="1:17" x14ac:dyDescent="0.2">
      <c r="A162" s="138" t="s">
        <v>576</v>
      </c>
      <c r="B162" s="137" t="s">
        <v>574</v>
      </c>
      <c r="C162" s="138" t="s">
        <v>479</v>
      </c>
      <c r="D162" s="358">
        <f t="shared" si="2"/>
        <v>97000</v>
      </c>
      <c r="E162" s="188"/>
      <c r="F162" s="181"/>
      <c r="G162" s="196"/>
      <c r="H162" s="158"/>
      <c r="O162" s="185" t="e">
        <f>D162/#REF!</f>
        <v>#REF!</v>
      </c>
      <c r="Q162" s="376">
        <v>97000</v>
      </c>
    </row>
    <row r="163" spans="1:17" x14ac:dyDescent="0.2">
      <c r="A163" s="138" t="s">
        <v>577</v>
      </c>
      <c r="B163" s="137" t="s">
        <v>578</v>
      </c>
      <c r="C163" s="138" t="s">
        <v>184</v>
      </c>
      <c r="D163" s="358">
        <f t="shared" si="2"/>
        <v>223850</v>
      </c>
      <c r="E163" s="192"/>
      <c r="F163" s="183"/>
      <c r="G163" s="195">
        <v>68500</v>
      </c>
      <c r="H163" s="194" t="s">
        <v>575</v>
      </c>
      <c r="I163" s="117" t="s">
        <v>579</v>
      </c>
      <c r="L163" s="117">
        <v>1</v>
      </c>
      <c r="O163" s="185" t="e">
        <f>D163/#REF!</f>
        <v>#REF!</v>
      </c>
      <c r="Q163" s="376">
        <v>223850</v>
      </c>
    </row>
    <row r="164" spans="1:17" x14ac:dyDescent="0.2">
      <c r="A164" s="138" t="s">
        <v>580</v>
      </c>
      <c r="B164" s="137" t="s">
        <v>578</v>
      </c>
      <c r="C164" s="138" t="s">
        <v>479</v>
      </c>
      <c r="D164" s="358">
        <f t="shared" si="2"/>
        <v>223850</v>
      </c>
      <c r="E164" s="188"/>
      <c r="F164" s="181"/>
      <c r="G164" s="197"/>
      <c r="H164" s="194" t="s">
        <v>575</v>
      </c>
      <c r="O164" s="185" t="e">
        <f>D164/#REF!</f>
        <v>#REF!</v>
      </c>
      <c r="Q164" s="376">
        <v>223850</v>
      </c>
    </row>
    <row r="165" spans="1:17" x14ac:dyDescent="0.2">
      <c r="A165" s="138" t="s">
        <v>581</v>
      </c>
      <c r="B165" s="137" t="s">
        <v>582</v>
      </c>
      <c r="C165" s="138" t="s">
        <v>184</v>
      </c>
      <c r="D165" s="358">
        <f t="shared" si="2"/>
        <v>158800</v>
      </c>
      <c r="E165" s="192"/>
      <c r="F165" s="183"/>
      <c r="G165" s="195">
        <v>39500</v>
      </c>
      <c r="H165" s="194" t="s">
        <v>575</v>
      </c>
      <c r="L165" s="117">
        <v>1</v>
      </c>
      <c r="O165" s="185" t="e">
        <f>D165/#REF!</f>
        <v>#REF!</v>
      </c>
      <c r="Q165" s="376">
        <v>158800</v>
      </c>
    </row>
    <row r="166" spans="1:17" x14ac:dyDescent="0.2">
      <c r="A166" s="138" t="s">
        <v>583</v>
      </c>
      <c r="B166" s="137" t="s">
        <v>582</v>
      </c>
      <c r="C166" s="138" t="s">
        <v>479</v>
      </c>
      <c r="D166" s="358">
        <f t="shared" si="2"/>
        <v>158800</v>
      </c>
      <c r="E166" s="188"/>
      <c r="F166" s="181"/>
      <c r="G166" s="180"/>
      <c r="H166" s="158"/>
      <c r="O166" s="185" t="e">
        <f>D166/#REF!</f>
        <v>#REF!</v>
      </c>
      <c r="Q166" s="376">
        <v>158800</v>
      </c>
    </row>
    <row r="167" spans="1:17" x14ac:dyDescent="0.2">
      <c r="A167" s="138" t="s">
        <v>584</v>
      </c>
      <c r="B167" s="137" t="s">
        <v>585</v>
      </c>
      <c r="C167" s="138" t="s">
        <v>184</v>
      </c>
      <c r="D167" s="358">
        <f t="shared" si="2"/>
        <v>915330</v>
      </c>
      <c r="E167" s="198"/>
      <c r="F167" s="199"/>
      <c r="G167" s="193">
        <v>237770</v>
      </c>
      <c r="H167" s="194" t="s">
        <v>566</v>
      </c>
      <c r="I167" s="200">
        <f>536000*D195</f>
        <v>3773440</v>
      </c>
      <c r="J167" s="117" t="s">
        <v>586</v>
      </c>
      <c r="O167" s="185" t="e">
        <f>D167/#REF!</f>
        <v>#REF!</v>
      </c>
      <c r="Q167" s="376">
        <v>915330</v>
      </c>
    </row>
    <row r="168" spans="1:17" x14ac:dyDescent="0.2">
      <c r="A168" s="138" t="s">
        <v>587</v>
      </c>
      <c r="B168" s="137" t="s">
        <v>588</v>
      </c>
      <c r="C168" s="138" t="s">
        <v>479</v>
      </c>
      <c r="D168" s="358">
        <f t="shared" si="2"/>
        <v>915330</v>
      </c>
      <c r="E168" s="188"/>
      <c r="F168" s="181"/>
      <c r="G168" s="180"/>
      <c r="H168" s="158"/>
      <c r="O168" s="185" t="e">
        <f>D168/#REF!</f>
        <v>#REF!</v>
      </c>
      <c r="Q168" s="376">
        <v>915330</v>
      </c>
    </row>
    <row r="169" spans="1:17" x14ac:dyDescent="0.2">
      <c r="A169" s="138" t="s">
        <v>589</v>
      </c>
      <c r="B169" s="137" t="s">
        <v>590</v>
      </c>
      <c r="C169" s="138" t="s">
        <v>184</v>
      </c>
      <c r="D169" s="358">
        <f t="shared" si="2"/>
        <v>202452.69279999999</v>
      </c>
      <c r="E169" s="192"/>
      <c r="F169" s="183"/>
      <c r="G169" s="193">
        <f>11500*D195</f>
        <v>80960</v>
      </c>
      <c r="H169" s="194" t="s">
        <v>591</v>
      </c>
      <c r="L169" s="117">
        <v>1</v>
      </c>
      <c r="O169" s="185" t="e">
        <f>D169/#REF!</f>
        <v>#REF!</v>
      </c>
      <c r="Q169" s="376">
        <v>202452.69279999999</v>
      </c>
    </row>
    <row r="170" spans="1:17" x14ac:dyDescent="0.2">
      <c r="A170" s="138" t="s">
        <v>592</v>
      </c>
      <c r="B170" s="137" t="s">
        <v>593</v>
      </c>
      <c r="C170" s="138" t="s">
        <v>479</v>
      </c>
      <c r="D170" s="358">
        <f t="shared" si="2"/>
        <v>202452.69279999999</v>
      </c>
      <c r="E170" s="188"/>
      <c r="F170" s="181"/>
      <c r="G170" s="180"/>
      <c r="H170" s="158"/>
      <c r="O170" s="185" t="e">
        <f>D170/#REF!</f>
        <v>#REF!</v>
      </c>
      <c r="Q170" s="376">
        <v>202452.69279999999</v>
      </c>
    </row>
    <row r="171" spans="1:17" x14ac:dyDescent="0.2">
      <c r="A171" s="138" t="s">
        <v>594</v>
      </c>
      <c r="B171" s="137" t="s">
        <v>595</v>
      </c>
      <c r="C171" s="138" t="s">
        <v>301</v>
      </c>
      <c r="D171" s="358">
        <f t="shared" si="2"/>
        <v>7.96</v>
      </c>
      <c r="E171" s="201">
        <v>1.6859999999999999</v>
      </c>
      <c r="F171" s="183"/>
      <c r="G171" s="182"/>
      <c r="H171" s="117" t="s">
        <v>477</v>
      </c>
      <c r="L171" s="117">
        <v>1</v>
      </c>
      <c r="O171" s="185" t="e">
        <f>D171/#REF!</f>
        <v>#REF!</v>
      </c>
      <c r="Q171" s="376">
        <v>7.96</v>
      </c>
    </row>
    <row r="172" spans="1:17" x14ac:dyDescent="0.2">
      <c r="A172" s="138" t="s">
        <v>596</v>
      </c>
      <c r="B172" s="137" t="s">
        <v>597</v>
      </c>
      <c r="C172" s="138" t="s">
        <v>184</v>
      </c>
      <c r="D172" s="358">
        <f t="shared" si="2"/>
        <v>192140.56820000001</v>
      </c>
      <c r="E172" s="202"/>
      <c r="F172" s="183"/>
      <c r="G172" s="195">
        <v>24761.31</v>
      </c>
      <c r="H172" s="194" t="s">
        <v>598</v>
      </c>
      <c r="L172" s="117">
        <v>1</v>
      </c>
      <c r="O172" s="185" t="e">
        <f>D172/#REF!</f>
        <v>#REF!</v>
      </c>
      <c r="Q172" s="376">
        <v>192140.56820000001</v>
      </c>
    </row>
    <row r="173" spans="1:17" x14ac:dyDescent="0.2">
      <c r="A173" s="138" t="s">
        <v>599</v>
      </c>
      <c r="B173" s="137" t="s">
        <v>600</v>
      </c>
      <c r="C173" s="138" t="s">
        <v>479</v>
      </c>
      <c r="D173" s="358">
        <f t="shared" si="2"/>
        <v>211068.62220000001</v>
      </c>
      <c r="E173" s="188"/>
      <c r="F173" s="181"/>
      <c r="G173" s="180"/>
      <c r="H173" s="158"/>
      <c r="O173" s="185" t="e">
        <f>D173/#REF!</f>
        <v>#REF!</v>
      </c>
      <c r="Q173" s="376">
        <v>211068.62220000001</v>
      </c>
    </row>
    <row r="174" spans="1:17" x14ac:dyDescent="0.2">
      <c r="A174" s="138" t="s">
        <v>601</v>
      </c>
      <c r="B174" s="137" t="s">
        <v>602</v>
      </c>
      <c r="C174" s="138" t="s">
        <v>184</v>
      </c>
      <c r="D174" s="358">
        <f t="shared" si="2"/>
        <v>211068.62220000001</v>
      </c>
      <c r="E174" s="202"/>
      <c r="F174" s="183"/>
      <c r="G174" s="193">
        <f>4587*D195</f>
        <v>32292.48</v>
      </c>
      <c r="H174" s="194" t="s">
        <v>561</v>
      </c>
      <c r="L174" s="117">
        <v>1</v>
      </c>
      <c r="O174" s="185" t="e">
        <f>D174/#REF!</f>
        <v>#REF!</v>
      </c>
      <c r="Q174" s="376">
        <v>211068.62220000001</v>
      </c>
    </row>
    <row r="175" spans="1:17" x14ac:dyDescent="0.2">
      <c r="A175" s="138" t="s">
        <v>603</v>
      </c>
      <c r="B175" s="137" t="s">
        <v>602</v>
      </c>
      <c r="C175" s="138" t="s">
        <v>479</v>
      </c>
      <c r="D175" s="358">
        <f t="shared" si="2"/>
        <v>211068.62220000001</v>
      </c>
      <c r="E175" s="188"/>
      <c r="F175" s="181"/>
      <c r="G175" s="180"/>
      <c r="H175" s="158"/>
      <c r="O175" s="185" t="e">
        <f>D175/#REF!</f>
        <v>#REF!</v>
      </c>
      <c r="Q175" s="376">
        <v>211068.62220000001</v>
      </c>
    </row>
    <row r="176" spans="1:17" x14ac:dyDescent="0.2">
      <c r="A176" s="138" t="s">
        <v>604</v>
      </c>
      <c r="B176" s="137" t="s">
        <v>605</v>
      </c>
      <c r="C176" s="138" t="s">
        <v>184</v>
      </c>
      <c r="D176" s="358">
        <f t="shared" si="2"/>
        <v>34742.870000000003</v>
      </c>
      <c r="E176" s="202"/>
      <c r="F176" s="183"/>
      <c r="G176" s="193">
        <f>3938*D195</f>
        <v>27723.52</v>
      </c>
      <c r="H176" s="194" t="s">
        <v>561</v>
      </c>
      <c r="K176" s="203">
        <f>240000+84000+26900</f>
        <v>350900</v>
      </c>
      <c r="L176" s="117">
        <v>1</v>
      </c>
      <c r="O176" s="185" t="e">
        <f>D176/#REF!</f>
        <v>#REF!</v>
      </c>
      <c r="Q176" s="376">
        <v>34742.870000000003</v>
      </c>
    </row>
    <row r="177" spans="1:17" x14ac:dyDescent="0.2">
      <c r="A177" s="138" t="s">
        <v>606</v>
      </c>
      <c r="B177" s="137" t="s">
        <v>605</v>
      </c>
      <c r="C177" s="138" t="s">
        <v>479</v>
      </c>
      <c r="D177" s="358">
        <f t="shared" si="2"/>
        <v>34742.870000000003</v>
      </c>
      <c r="E177" s="188"/>
      <c r="F177" s="181"/>
      <c r="G177" s="180"/>
      <c r="H177" s="158"/>
      <c r="K177" s="204" t="s">
        <v>607</v>
      </c>
      <c r="O177" s="185" t="e">
        <f>D177/#REF!</f>
        <v>#REF!</v>
      </c>
      <c r="Q177" s="376">
        <v>34742.870000000003</v>
      </c>
    </row>
    <row r="178" spans="1:17" x14ac:dyDescent="0.2">
      <c r="A178" s="138" t="s">
        <v>608</v>
      </c>
      <c r="B178" s="137" t="s">
        <v>609</v>
      </c>
      <c r="C178" s="138" t="s">
        <v>184</v>
      </c>
      <c r="D178" s="358">
        <f t="shared" si="2"/>
        <v>3712078.9078000002</v>
      </c>
      <c r="E178" s="202"/>
      <c r="F178" s="183"/>
      <c r="G178" s="205">
        <v>1076027.8</v>
      </c>
      <c r="H178" s="206" t="s">
        <v>610</v>
      </c>
      <c r="I178" s="206"/>
      <c r="J178" s="204">
        <f>35186*D195</f>
        <v>247709.44</v>
      </c>
      <c r="K178" s="207" t="s">
        <v>611</v>
      </c>
      <c r="O178" s="185" t="e">
        <f>D178/#REF!</f>
        <v>#REF!</v>
      </c>
      <c r="Q178" s="376">
        <v>3712078.9078000002</v>
      </c>
    </row>
    <row r="179" spans="1:17" x14ac:dyDescent="0.2">
      <c r="A179" s="138" t="s">
        <v>612</v>
      </c>
      <c r="B179" s="137" t="s">
        <v>609</v>
      </c>
      <c r="C179" s="138" t="s">
        <v>479</v>
      </c>
      <c r="D179" s="358">
        <f t="shared" si="2"/>
        <v>6336900</v>
      </c>
      <c r="E179" s="188"/>
      <c r="F179" s="181"/>
      <c r="G179" s="180"/>
      <c r="O179" s="185" t="e">
        <f>D179/#REF!</f>
        <v>#REF!</v>
      </c>
      <c r="Q179" s="376">
        <v>6336900</v>
      </c>
    </row>
    <row r="180" spans="1:17" x14ac:dyDescent="0.2">
      <c r="A180" s="138" t="s">
        <v>613</v>
      </c>
      <c r="B180" s="137" t="s">
        <v>614</v>
      </c>
      <c r="C180" s="138" t="s">
        <v>184</v>
      </c>
      <c r="D180" s="358">
        <f t="shared" si="2"/>
        <v>186767.1096</v>
      </c>
      <c r="E180" s="192"/>
      <c r="F180" s="183"/>
      <c r="G180" s="208">
        <v>49973</v>
      </c>
      <c r="H180" s="158" t="s">
        <v>615</v>
      </c>
      <c r="L180" s="117">
        <v>1</v>
      </c>
      <c r="O180" s="185" t="e">
        <f>D180/#REF!</f>
        <v>#REF!</v>
      </c>
      <c r="Q180" s="376">
        <v>186767.1096</v>
      </c>
    </row>
    <row r="181" spans="1:17" x14ac:dyDescent="0.2">
      <c r="A181" s="138" t="s">
        <v>616</v>
      </c>
      <c r="B181" s="137" t="s">
        <v>614</v>
      </c>
      <c r="C181" s="138" t="s">
        <v>479</v>
      </c>
      <c r="D181" s="358">
        <f t="shared" si="2"/>
        <v>353.71</v>
      </c>
      <c r="E181" s="188">
        <f>grua</f>
        <v>195.08788007999999</v>
      </c>
      <c r="F181" s="181"/>
      <c r="G181" s="180"/>
      <c r="H181" s="158"/>
      <c r="O181" s="185" t="e">
        <f>D181/#REF!</f>
        <v>#REF!</v>
      </c>
      <c r="Q181" s="376">
        <v>353.71</v>
      </c>
    </row>
    <row r="182" spans="1:17" x14ac:dyDescent="0.2">
      <c r="A182" s="138" t="s">
        <v>617</v>
      </c>
      <c r="B182" s="137" t="s">
        <v>618</v>
      </c>
      <c r="C182" s="138" t="s">
        <v>184</v>
      </c>
      <c r="D182" s="358">
        <f t="shared" si="2"/>
        <v>1708632.6018000001</v>
      </c>
      <c r="E182" s="202"/>
      <c r="F182" s="183"/>
      <c r="G182" s="205">
        <v>481724</v>
      </c>
      <c r="H182" s="206" t="s">
        <v>619</v>
      </c>
      <c r="I182" s="206"/>
      <c r="L182" s="117">
        <v>1</v>
      </c>
      <c r="O182" s="185" t="e">
        <f>D182/#REF!</f>
        <v>#REF!</v>
      </c>
      <c r="Q182" s="376">
        <v>1708632.6018000001</v>
      </c>
    </row>
    <row r="183" spans="1:17" x14ac:dyDescent="0.2">
      <c r="A183" s="138" t="s">
        <v>620</v>
      </c>
      <c r="B183" s="137" t="s">
        <v>621</v>
      </c>
      <c r="C183" s="138" t="s">
        <v>479</v>
      </c>
      <c r="D183" s="358">
        <f t="shared" si="2"/>
        <v>2867790</v>
      </c>
      <c r="E183" s="188"/>
      <c r="F183" s="181"/>
      <c r="G183" s="180"/>
      <c r="O183" s="185" t="e">
        <f>D183/#REF!</f>
        <v>#REF!</v>
      </c>
      <c r="Q183" s="376">
        <v>2867790</v>
      </c>
    </row>
    <row r="184" spans="1:17" x14ac:dyDescent="0.2">
      <c r="A184" s="138" t="s">
        <v>622</v>
      </c>
      <c r="B184" s="137" t="s">
        <v>623</v>
      </c>
      <c r="C184" s="138" t="s">
        <v>184</v>
      </c>
      <c r="D184" s="358">
        <f t="shared" si="2"/>
        <v>1391301.6</v>
      </c>
      <c r="E184" s="202"/>
      <c r="F184" s="183"/>
      <c r="G184" s="193">
        <v>356950</v>
      </c>
      <c r="H184" s="194" t="s">
        <v>566</v>
      </c>
      <c r="L184" s="117">
        <v>1</v>
      </c>
      <c r="O184" s="185" t="e">
        <f>D184/#REF!</f>
        <v>#REF!</v>
      </c>
      <c r="Q184" s="376">
        <v>1391301.6</v>
      </c>
    </row>
    <row r="185" spans="1:17" x14ac:dyDescent="0.2">
      <c r="A185" s="138" t="s">
        <v>624</v>
      </c>
      <c r="B185" s="137" t="s">
        <v>625</v>
      </c>
      <c r="C185" s="138" t="s">
        <v>479</v>
      </c>
      <c r="D185" s="358">
        <f t="shared" si="2"/>
        <v>405.82</v>
      </c>
      <c r="E185" s="188"/>
      <c r="F185" s="181"/>
      <c r="G185" s="180"/>
      <c r="H185" s="158"/>
      <c r="I185" s="209" t="e">
        <f>G178+#REF!</f>
        <v>#REF!</v>
      </c>
      <c r="O185" s="185" t="e">
        <f>D185/#REF!</f>
        <v>#REF!</v>
      </c>
      <c r="Q185" s="376">
        <v>405.82</v>
      </c>
    </row>
    <row r="186" spans="1:17" x14ac:dyDescent="0.2">
      <c r="A186" s="138" t="s">
        <v>626</v>
      </c>
      <c r="B186" s="137" t="s">
        <v>627</v>
      </c>
      <c r="C186" s="138" t="s">
        <v>184</v>
      </c>
      <c r="D186" s="358">
        <f t="shared" si="2"/>
        <v>553035.85</v>
      </c>
      <c r="E186" s="210">
        <v>80542.990000000005</v>
      </c>
      <c r="F186" s="181"/>
      <c r="G186" s="211"/>
      <c r="H186" s="158"/>
      <c r="O186" s="185" t="e">
        <f>D186/#REF!</f>
        <v>#REF!</v>
      </c>
      <c r="Q186" s="376">
        <v>553035.85</v>
      </c>
    </row>
    <row r="187" spans="1:17" x14ac:dyDescent="0.2">
      <c r="A187" s="138" t="s">
        <v>628</v>
      </c>
      <c r="B187" s="137" t="s">
        <v>629</v>
      </c>
      <c r="C187" s="138" t="s">
        <v>184</v>
      </c>
      <c r="D187" s="358">
        <f t="shared" si="2"/>
        <v>615148.79500000004</v>
      </c>
      <c r="E187" s="201">
        <v>118054.29</v>
      </c>
      <c r="F187" s="181"/>
      <c r="G187" s="212"/>
      <c r="H187" s="158"/>
      <c r="O187" s="185" t="e">
        <f>D187/#REF!</f>
        <v>#REF!</v>
      </c>
      <c r="Q187" s="376">
        <v>615148.79500000004</v>
      </c>
    </row>
    <row r="188" spans="1:17" x14ac:dyDescent="0.2">
      <c r="A188" s="138" t="s">
        <v>630</v>
      </c>
      <c r="B188" s="137" t="s">
        <v>631</v>
      </c>
      <c r="C188" s="138" t="s">
        <v>184</v>
      </c>
      <c r="D188" s="358">
        <f t="shared" si="2"/>
        <v>3560.6066999999998</v>
      </c>
      <c r="E188" s="201">
        <v>554.54999999999995</v>
      </c>
      <c r="F188" s="181"/>
      <c r="G188" s="212"/>
      <c r="H188" s="158"/>
      <c r="O188" s="185" t="e">
        <f>D188/#REF!</f>
        <v>#REF!</v>
      </c>
      <c r="Q188" s="376">
        <v>3560.6066999999998</v>
      </c>
    </row>
    <row r="189" spans="1:17" x14ac:dyDescent="0.2">
      <c r="A189" s="138" t="s">
        <v>632</v>
      </c>
      <c r="B189" s="137" t="s">
        <v>633</v>
      </c>
      <c r="C189" s="138" t="s">
        <v>184</v>
      </c>
      <c r="D189" s="358">
        <f t="shared" si="2"/>
        <v>4206.6133</v>
      </c>
      <c r="E189" s="201">
        <v>692.56</v>
      </c>
      <c r="F189" s="181"/>
      <c r="G189" s="212"/>
      <c r="H189" s="158"/>
      <c r="O189" s="185" t="e">
        <f>D189/#REF!</f>
        <v>#REF!</v>
      </c>
      <c r="Q189" s="376">
        <v>4206.6133</v>
      </c>
    </row>
    <row r="190" spans="1:17" x14ac:dyDescent="0.2">
      <c r="A190" s="138" t="s">
        <v>634</v>
      </c>
      <c r="B190" s="137" t="s">
        <v>635</v>
      </c>
      <c r="C190" s="138" t="s">
        <v>184</v>
      </c>
      <c r="D190" s="358">
        <f t="shared" si="2"/>
        <v>4782.3666999999996</v>
      </c>
      <c r="E190" s="201">
        <v>762.81</v>
      </c>
      <c r="F190" s="181"/>
      <c r="G190" s="212"/>
      <c r="H190" s="158"/>
      <c r="O190" s="185" t="e">
        <f>D190/#REF!</f>
        <v>#REF!</v>
      </c>
      <c r="Q190" s="376">
        <v>4782.3666999999996</v>
      </c>
    </row>
    <row r="191" spans="1:17" x14ac:dyDescent="0.2">
      <c r="A191" s="138" t="s">
        <v>636</v>
      </c>
      <c r="B191" s="137" t="s">
        <v>637</v>
      </c>
      <c r="C191" s="138" t="s">
        <v>184</v>
      </c>
      <c r="D191" s="358">
        <f t="shared" si="2"/>
        <v>82149.100999999995</v>
      </c>
      <c r="E191" s="213">
        <v>9504.1299999999992</v>
      </c>
      <c r="F191" s="181"/>
      <c r="G191" s="211"/>
      <c r="H191" s="158"/>
      <c r="O191" s="185" t="e">
        <f>D191/#REF!</f>
        <v>#REF!</v>
      </c>
      <c r="Q191" s="376">
        <v>82149.100999999995</v>
      </c>
    </row>
    <row r="192" spans="1:17" x14ac:dyDescent="0.2">
      <c r="A192" s="138" t="s">
        <v>638</v>
      </c>
      <c r="B192" s="137" t="s">
        <v>639</v>
      </c>
      <c r="C192" s="138" t="s">
        <v>184</v>
      </c>
      <c r="D192" s="358">
        <f t="shared" si="2"/>
        <v>82149.100999999995</v>
      </c>
      <c r="E192" s="213">
        <v>9504.1299999999992</v>
      </c>
      <c r="F192" s="181"/>
      <c r="G192" s="212"/>
      <c r="H192" s="158"/>
      <c r="O192" s="185" t="e">
        <f>D192/#REF!</f>
        <v>#REF!</v>
      </c>
      <c r="Q192" s="376">
        <v>82149.100999999995</v>
      </c>
    </row>
    <row r="193" spans="1:17" x14ac:dyDescent="0.2">
      <c r="A193" s="138" t="s">
        <v>640</v>
      </c>
      <c r="B193" s="137" t="s">
        <v>641</v>
      </c>
      <c r="C193" s="138" t="s">
        <v>184</v>
      </c>
      <c r="D193" s="358">
        <f t="shared" si="2"/>
        <v>588.73320000000001</v>
      </c>
      <c r="E193" s="202"/>
      <c r="F193" s="183"/>
      <c r="G193" s="208">
        <f>77/1.21</f>
        <v>63.63636363636364</v>
      </c>
      <c r="H193" s="158" t="s">
        <v>642</v>
      </c>
      <c r="L193" s="117">
        <v>1</v>
      </c>
      <c r="O193" s="185" t="e">
        <f>D193/#REF!</f>
        <v>#REF!</v>
      </c>
      <c r="Q193" s="376">
        <v>588.73320000000001</v>
      </c>
    </row>
    <row r="194" spans="1:17" x14ac:dyDescent="0.2">
      <c r="A194" s="138" t="s">
        <v>643</v>
      </c>
      <c r="B194" s="137" t="s">
        <v>644</v>
      </c>
      <c r="C194" s="138" t="s">
        <v>12</v>
      </c>
      <c r="D194" s="358">
        <f t="shared" si="2"/>
        <v>18.850000000000001</v>
      </c>
      <c r="E194" s="214">
        <v>0.1885</v>
      </c>
      <c r="F194" s="183"/>
      <c r="G194" s="182"/>
      <c r="H194" s="158"/>
      <c r="L194" s="117">
        <v>1</v>
      </c>
      <c r="O194" s="185" t="e">
        <f>D194/#REF!</f>
        <v>#REF!</v>
      </c>
      <c r="Q194" s="376">
        <v>18.850000000000001</v>
      </c>
    </row>
    <row r="195" spans="1:17" x14ac:dyDescent="0.2">
      <c r="A195" s="138" t="s">
        <v>645</v>
      </c>
      <c r="B195" s="137" t="s">
        <v>646</v>
      </c>
      <c r="C195" s="138" t="s">
        <v>243</v>
      </c>
      <c r="D195" s="358">
        <f t="shared" si="2"/>
        <v>7.04</v>
      </c>
      <c r="E195" s="215">
        <v>2.95</v>
      </c>
      <c r="F195" s="183"/>
      <c r="G195" s="182"/>
      <c r="H195" s="158" t="s">
        <v>477</v>
      </c>
      <c r="I195" s="117">
        <f>(2.83+2.81+2.82+2.82+2.82+2.78+2.8+2.79+2.79+2.82+2.87+2.97+2.95+2.89+2.87+2.91+2.92+2.91+2.89+2.9+2.9+2.87)/22</f>
        <v>2.8604545454545454</v>
      </c>
      <c r="L195" s="117">
        <v>1</v>
      </c>
      <c r="O195" s="185" t="e">
        <f>D195/#REF!</f>
        <v>#REF!</v>
      </c>
      <c r="Q195" s="376">
        <v>7.04</v>
      </c>
    </row>
    <row r="196" spans="1:17" x14ac:dyDescent="0.2">
      <c r="A196" s="138" t="s">
        <v>647</v>
      </c>
      <c r="B196" s="137" t="s">
        <v>648</v>
      </c>
      <c r="C196" s="138" t="s">
        <v>12</v>
      </c>
      <c r="D196" s="358">
        <f t="shared" si="2"/>
        <v>12.2</v>
      </c>
      <c r="E196" s="214">
        <v>0.122</v>
      </c>
      <c r="F196" s="183"/>
      <c r="G196" s="182"/>
      <c r="H196" s="158"/>
      <c r="L196" s="117">
        <v>1</v>
      </c>
      <c r="O196" s="185" t="e">
        <f>D196/#REF!</f>
        <v>#REF!</v>
      </c>
      <c r="Q196" s="376">
        <v>12.2</v>
      </c>
    </row>
    <row r="197" spans="1:17" x14ac:dyDescent="0.2">
      <c r="A197" s="138" t="s">
        <v>649</v>
      </c>
      <c r="B197" s="137" t="s">
        <v>650</v>
      </c>
      <c r="C197" s="138" t="s">
        <v>184</v>
      </c>
      <c r="D197" s="358">
        <f t="shared" si="2"/>
        <v>120</v>
      </c>
      <c r="E197" s="187">
        <v>120</v>
      </c>
      <c r="F197" s="183"/>
      <c r="G197" s="182"/>
      <c r="H197" s="158" t="s">
        <v>651</v>
      </c>
      <c r="L197" s="117">
        <v>1</v>
      </c>
      <c r="O197" s="185" t="e">
        <f>D197/#REF!</f>
        <v>#REF!</v>
      </c>
      <c r="Q197" s="376">
        <v>120</v>
      </c>
    </row>
    <row r="198" spans="1:17" x14ac:dyDescent="0.2">
      <c r="A198" s="138" t="s">
        <v>652</v>
      </c>
      <c r="B198" s="137" t="s">
        <v>653</v>
      </c>
      <c r="C198" s="138" t="s">
        <v>14</v>
      </c>
      <c r="D198" s="358">
        <f t="shared" si="2"/>
        <v>17.190000000000001</v>
      </c>
      <c r="E198" s="187">
        <v>9.5</v>
      </c>
      <c r="F198" s="183"/>
      <c r="G198" s="182"/>
      <c r="H198" s="158" t="s">
        <v>654</v>
      </c>
      <c r="L198" s="117">
        <v>1</v>
      </c>
      <c r="O198" s="185" t="e">
        <f>D198/#REF!</f>
        <v>#REF!</v>
      </c>
      <c r="Q198" s="376">
        <v>17.190000000000001</v>
      </c>
    </row>
    <row r="199" spans="1:17" x14ac:dyDescent="0.2">
      <c r="A199" s="138" t="s">
        <v>655</v>
      </c>
      <c r="B199" s="137" t="s">
        <v>656</v>
      </c>
      <c r="C199" s="138" t="s">
        <v>184</v>
      </c>
      <c r="D199" s="358">
        <f t="shared" si="2"/>
        <v>10277.56</v>
      </c>
      <c r="E199" s="201">
        <v>1033.2</v>
      </c>
      <c r="F199" s="183"/>
      <c r="G199" s="212"/>
      <c r="H199" s="158"/>
      <c r="O199" s="185" t="e">
        <f>D199/#REF!</f>
        <v>#REF!</v>
      </c>
      <c r="Q199" s="376">
        <v>10277.56</v>
      </c>
    </row>
    <row r="200" spans="1:17" x14ac:dyDescent="0.2">
      <c r="A200" s="138" t="s">
        <v>657</v>
      </c>
      <c r="B200" s="137" t="s">
        <v>658</v>
      </c>
      <c r="C200" s="138" t="s">
        <v>184</v>
      </c>
      <c r="D200" s="358">
        <f t="shared" ref="D200:D263" si="3">Q200</f>
        <v>11580.08</v>
      </c>
      <c r="E200" s="201">
        <v>1033.2</v>
      </c>
      <c r="F200" s="183"/>
      <c r="G200" s="212"/>
      <c r="H200" s="158"/>
      <c r="O200" s="185" t="e">
        <f>D200/#REF!</f>
        <v>#REF!</v>
      </c>
      <c r="Q200" s="376">
        <v>11580.08</v>
      </c>
    </row>
    <row r="201" spans="1:17" x14ac:dyDescent="0.2">
      <c r="A201" s="138" t="s">
        <v>659</v>
      </c>
      <c r="B201" s="137" t="s">
        <v>660</v>
      </c>
      <c r="C201" s="138" t="s">
        <v>184</v>
      </c>
      <c r="D201" s="358">
        <f t="shared" si="3"/>
        <v>48.76</v>
      </c>
      <c r="E201" s="216">
        <v>15.17</v>
      </c>
      <c r="F201" s="217"/>
      <c r="G201" s="182"/>
      <c r="H201" s="218" t="s">
        <v>661</v>
      </c>
      <c r="L201" s="117">
        <v>1</v>
      </c>
      <c r="O201" s="185" t="e">
        <f>D201/#REF!</f>
        <v>#REF!</v>
      </c>
      <c r="Q201" s="376">
        <v>48.76</v>
      </c>
    </row>
    <row r="202" spans="1:17" x14ac:dyDescent="0.2">
      <c r="A202" s="138" t="s">
        <v>662</v>
      </c>
      <c r="B202" s="137" t="s">
        <v>663</v>
      </c>
      <c r="C202" s="138" t="s">
        <v>664</v>
      </c>
      <c r="D202" s="358">
        <f t="shared" si="3"/>
        <v>14.136699999999999</v>
      </c>
      <c r="E202" s="216">
        <v>2.2000000000000002</v>
      </c>
      <c r="F202" s="217"/>
      <c r="G202" s="182"/>
      <c r="H202" s="218"/>
      <c r="L202" s="117">
        <v>1</v>
      </c>
      <c r="O202" s="185" t="e">
        <f>D202/#REF!</f>
        <v>#REF!</v>
      </c>
      <c r="Q202" s="376">
        <v>14.136699999999999</v>
      </c>
    </row>
    <row r="203" spans="1:17" x14ac:dyDescent="0.2">
      <c r="A203" s="138" t="s">
        <v>665</v>
      </c>
      <c r="B203" s="165" t="s">
        <v>666</v>
      </c>
      <c r="C203" s="169" t="s">
        <v>184</v>
      </c>
      <c r="D203" s="358">
        <f t="shared" si="3"/>
        <v>140.005</v>
      </c>
      <c r="E203" s="219">
        <v>47.13</v>
      </c>
      <c r="F203" s="183"/>
      <c r="G203" s="182"/>
      <c r="H203" s="158"/>
      <c r="O203" s="185" t="e">
        <f>D203/#REF!</f>
        <v>#REF!</v>
      </c>
      <c r="Q203" s="376">
        <v>140.005</v>
      </c>
    </row>
    <row r="204" spans="1:17" x14ac:dyDescent="0.2">
      <c r="A204" s="138" t="s">
        <v>667</v>
      </c>
      <c r="B204" s="165" t="s">
        <v>668</v>
      </c>
      <c r="C204" s="169" t="s">
        <v>184</v>
      </c>
      <c r="D204" s="358">
        <f t="shared" si="3"/>
        <v>64.88</v>
      </c>
      <c r="E204" s="216">
        <v>9.33</v>
      </c>
      <c r="F204" s="183"/>
      <c r="G204" s="182"/>
      <c r="H204" s="158"/>
      <c r="O204" s="185" t="e">
        <f>D204/#REF!</f>
        <v>#REF!</v>
      </c>
      <c r="Q204" s="376">
        <v>64.88</v>
      </c>
    </row>
    <row r="205" spans="1:17" x14ac:dyDescent="0.2">
      <c r="A205" s="138" t="s">
        <v>669</v>
      </c>
      <c r="B205" s="137" t="s">
        <v>670</v>
      </c>
      <c r="C205" s="138" t="s">
        <v>7</v>
      </c>
      <c r="D205" s="358">
        <f t="shared" si="3"/>
        <v>34.291499999999999</v>
      </c>
      <c r="E205" s="187">
        <v>6.2206000000000001</v>
      </c>
      <c r="F205" s="183"/>
      <c r="G205" s="182"/>
      <c r="H205" s="158" t="s">
        <v>671</v>
      </c>
      <c r="L205" s="117">
        <v>1</v>
      </c>
      <c r="O205" s="185" t="e">
        <f>D205/#REF!</f>
        <v>#REF!</v>
      </c>
      <c r="Q205" s="376">
        <v>34.291499999999999</v>
      </c>
    </row>
    <row r="206" spans="1:17" x14ac:dyDescent="0.2">
      <c r="A206" s="138" t="s">
        <v>672</v>
      </c>
      <c r="B206" s="137" t="s">
        <v>673</v>
      </c>
      <c r="C206" s="138" t="s">
        <v>184</v>
      </c>
      <c r="D206" s="358">
        <f t="shared" si="3"/>
        <v>59.980200000000004</v>
      </c>
      <c r="E206" s="187">
        <v>11.07</v>
      </c>
      <c r="F206" s="183"/>
      <c r="G206" s="182"/>
      <c r="H206" s="158" t="s">
        <v>674</v>
      </c>
      <c r="L206" s="117">
        <v>1</v>
      </c>
      <c r="O206" s="185" t="e">
        <f>D206/#REF!</f>
        <v>#REF!</v>
      </c>
      <c r="Q206" s="376">
        <v>59.980200000000004</v>
      </c>
    </row>
    <row r="207" spans="1:17" x14ac:dyDescent="0.2">
      <c r="A207" s="138" t="s">
        <v>675</v>
      </c>
      <c r="B207" s="137" t="s">
        <v>676</v>
      </c>
      <c r="C207" s="138" t="s">
        <v>184</v>
      </c>
      <c r="D207" s="358">
        <f t="shared" si="3"/>
        <v>281</v>
      </c>
      <c r="E207" s="187">
        <v>60.69</v>
      </c>
      <c r="F207" s="217"/>
      <c r="G207" s="182"/>
      <c r="H207" s="158"/>
      <c r="L207" s="117">
        <v>2</v>
      </c>
      <c r="O207" s="185" t="e">
        <f>D207/#REF!</f>
        <v>#REF!</v>
      </c>
      <c r="Q207" s="376">
        <v>281</v>
      </c>
    </row>
    <row r="208" spans="1:17" x14ac:dyDescent="0.2">
      <c r="A208" s="138" t="s">
        <v>677</v>
      </c>
      <c r="B208" s="137" t="s">
        <v>678</v>
      </c>
      <c r="C208" s="138" t="s">
        <v>184</v>
      </c>
      <c r="D208" s="358">
        <f t="shared" si="3"/>
        <v>1005.37</v>
      </c>
      <c r="E208" s="187">
        <v>290.91000000000003</v>
      </c>
      <c r="F208" s="183"/>
      <c r="G208" s="182"/>
      <c r="H208" s="158"/>
      <c r="L208" s="117">
        <v>1</v>
      </c>
      <c r="O208" s="185" t="e">
        <f>D208/#REF!</f>
        <v>#REF!</v>
      </c>
      <c r="Q208" s="376">
        <v>1005.37</v>
      </c>
    </row>
    <row r="209" spans="1:17" x14ac:dyDescent="0.2">
      <c r="A209" s="138" t="s">
        <v>679</v>
      </c>
      <c r="B209" s="137" t="s">
        <v>680</v>
      </c>
      <c r="C209" s="138" t="s">
        <v>184</v>
      </c>
      <c r="D209" s="358">
        <f t="shared" si="3"/>
        <v>1636.7759000000001</v>
      </c>
      <c r="E209" s="187">
        <v>317.60000000000002</v>
      </c>
      <c r="F209" s="183"/>
      <c r="G209" s="182"/>
      <c r="H209" s="158"/>
      <c r="L209" s="117">
        <v>1</v>
      </c>
      <c r="O209" s="185" t="e">
        <f>D209/#REF!</f>
        <v>#REF!</v>
      </c>
      <c r="Q209" s="376">
        <v>1636.7759000000001</v>
      </c>
    </row>
    <row r="210" spans="1:17" x14ac:dyDescent="0.2">
      <c r="A210" s="138" t="s">
        <v>681</v>
      </c>
      <c r="B210" s="137" t="s">
        <v>682</v>
      </c>
      <c r="C210" s="138" t="s">
        <v>184</v>
      </c>
      <c r="D210" s="358">
        <f t="shared" si="3"/>
        <v>1685.4283</v>
      </c>
      <c r="E210" s="187">
        <v>267.44</v>
      </c>
      <c r="F210" s="183"/>
      <c r="G210" s="182"/>
      <c r="H210" s="158"/>
      <c r="L210" s="117">
        <v>1</v>
      </c>
      <c r="O210" s="185" t="e">
        <f>D210/#REF!</f>
        <v>#REF!</v>
      </c>
      <c r="Q210" s="376">
        <v>1685.4283</v>
      </c>
    </row>
    <row r="211" spans="1:17" x14ac:dyDescent="0.2">
      <c r="A211" s="138" t="s">
        <v>683</v>
      </c>
      <c r="B211" s="137" t="s">
        <v>684</v>
      </c>
      <c r="C211" s="138" t="s">
        <v>184</v>
      </c>
      <c r="D211" s="358">
        <f t="shared" si="3"/>
        <v>206.2012</v>
      </c>
      <c r="E211" s="187">
        <f>44.85/1.21</f>
        <v>37.066115702479344</v>
      </c>
      <c r="F211" s="183"/>
      <c r="G211" s="182"/>
      <c r="H211" s="158"/>
      <c r="L211" s="117">
        <v>1</v>
      </c>
      <c r="O211" s="185" t="e">
        <f>D211/#REF!</f>
        <v>#REF!</v>
      </c>
      <c r="Q211" s="376">
        <v>206.2012</v>
      </c>
    </row>
    <row r="212" spans="1:17" x14ac:dyDescent="0.2">
      <c r="A212" s="138" t="s">
        <v>685</v>
      </c>
      <c r="B212" s="137" t="s">
        <v>686</v>
      </c>
      <c r="C212" s="138" t="s">
        <v>184</v>
      </c>
      <c r="D212" s="358">
        <f t="shared" si="3"/>
        <v>101.21639999999999</v>
      </c>
      <c r="E212" s="187">
        <v>9.58</v>
      </c>
      <c r="F212" s="183"/>
      <c r="G212" s="182"/>
      <c r="H212" s="158"/>
      <c r="L212" s="117">
        <v>1</v>
      </c>
      <c r="O212" s="185" t="e">
        <f>D212/#REF!</f>
        <v>#REF!</v>
      </c>
      <c r="Q212" s="376">
        <v>101.21639999999999</v>
      </c>
    </row>
    <row r="213" spans="1:17" x14ac:dyDescent="0.2">
      <c r="A213" s="138" t="s">
        <v>687</v>
      </c>
      <c r="B213" s="137" t="s">
        <v>688</v>
      </c>
      <c r="C213" s="138" t="s">
        <v>184</v>
      </c>
      <c r="D213" s="358">
        <f t="shared" si="3"/>
        <v>138.3683</v>
      </c>
      <c r="E213" s="219">
        <v>11.99</v>
      </c>
      <c r="F213" s="183"/>
      <c r="G213" s="182"/>
      <c r="H213" s="158"/>
      <c r="O213" s="185" t="e">
        <f>D213/#REF!</f>
        <v>#REF!</v>
      </c>
      <c r="Q213" s="376">
        <v>138.3683</v>
      </c>
    </row>
    <row r="214" spans="1:17" x14ac:dyDescent="0.2">
      <c r="A214" s="138" t="s">
        <v>689</v>
      </c>
      <c r="B214" s="137" t="s">
        <v>690</v>
      </c>
      <c r="C214" s="138" t="s">
        <v>7</v>
      </c>
      <c r="D214" s="358">
        <f t="shared" si="3"/>
        <v>34.81</v>
      </c>
      <c r="E214" s="187">
        <v>6.92</v>
      </c>
      <c r="F214" s="183"/>
      <c r="G214" s="148"/>
      <c r="H214" s="158"/>
      <c r="L214" s="117">
        <v>1</v>
      </c>
      <c r="O214" s="185" t="e">
        <f>D214/#REF!</f>
        <v>#REF!</v>
      </c>
      <c r="Q214" s="376">
        <v>34.81</v>
      </c>
    </row>
    <row r="215" spans="1:17" x14ac:dyDescent="0.2">
      <c r="A215" s="138" t="s">
        <v>691</v>
      </c>
      <c r="B215" s="165" t="s">
        <v>692</v>
      </c>
      <c r="C215" s="169" t="s">
        <v>7</v>
      </c>
      <c r="D215" s="358">
        <f t="shared" si="3"/>
        <v>23.661899999999999</v>
      </c>
      <c r="E215" s="219">
        <v>31.68</v>
      </c>
      <c r="F215" s="183"/>
      <c r="G215" s="182"/>
      <c r="H215" s="158"/>
      <c r="O215" s="185" t="e">
        <f>D215/#REF!</f>
        <v>#REF!</v>
      </c>
      <c r="Q215" s="376">
        <v>23.661899999999999</v>
      </c>
    </row>
    <row r="216" spans="1:17" x14ac:dyDescent="0.2">
      <c r="A216" s="138" t="s">
        <v>693</v>
      </c>
      <c r="B216" s="137" t="s">
        <v>694</v>
      </c>
      <c r="C216" s="138" t="s">
        <v>7</v>
      </c>
      <c r="D216" s="358">
        <f t="shared" si="3"/>
        <v>22.374700000000001</v>
      </c>
      <c r="E216" s="187">
        <v>5.15</v>
      </c>
      <c r="F216" s="183"/>
      <c r="G216" s="182"/>
      <c r="H216" s="158"/>
      <c r="L216" s="117">
        <v>1</v>
      </c>
      <c r="O216" s="185" t="e">
        <f>D216/#REF!</f>
        <v>#REF!</v>
      </c>
      <c r="Q216" s="376">
        <v>22.374700000000001</v>
      </c>
    </row>
    <row r="217" spans="1:17" x14ac:dyDescent="0.2">
      <c r="A217" s="138" t="s">
        <v>695</v>
      </c>
      <c r="B217" s="137" t="s">
        <v>696</v>
      </c>
      <c r="C217" s="138" t="s">
        <v>7</v>
      </c>
      <c r="D217" s="358">
        <f t="shared" si="3"/>
        <v>33.270600000000002</v>
      </c>
      <c r="E217" s="187">
        <v>7.28</v>
      </c>
      <c r="F217" s="183"/>
      <c r="G217" s="182"/>
      <c r="H217" s="158"/>
      <c r="L217" s="117">
        <v>1</v>
      </c>
      <c r="O217" s="185" t="e">
        <f>D217/#REF!</f>
        <v>#REF!</v>
      </c>
      <c r="Q217" s="376">
        <v>33.270600000000002</v>
      </c>
    </row>
    <row r="218" spans="1:17" x14ac:dyDescent="0.2">
      <c r="A218" s="138" t="s">
        <v>697</v>
      </c>
      <c r="B218" s="137" t="s">
        <v>698</v>
      </c>
      <c r="C218" s="138" t="s">
        <v>184</v>
      </c>
      <c r="D218" s="358">
        <f t="shared" si="3"/>
        <v>7.5182000000000002</v>
      </c>
      <c r="E218" s="187">
        <v>1.35</v>
      </c>
      <c r="F218" s="183"/>
      <c r="G218" s="182"/>
      <c r="H218" s="158"/>
      <c r="O218" s="185" t="e">
        <f>D218/#REF!</f>
        <v>#REF!</v>
      </c>
      <c r="Q218" s="376">
        <v>7.5182000000000002</v>
      </c>
    </row>
    <row r="219" spans="1:17" x14ac:dyDescent="0.2">
      <c r="A219" s="138" t="s">
        <v>699</v>
      </c>
      <c r="B219" s="137" t="s">
        <v>700</v>
      </c>
      <c r="C219" s="138" t="s">
        <v>184</v>
      </c>
      <c r="D219" s="358">
        <f t="shared" si="3"/>
        <v>8.9687000000000001</v>
      </c>
      <c r="E219" s="187">
        <f>1.5/1.21</f>
        <v>1.2396694214876034</v>
      </c>
      <c r="F219" s="183"/>
      <c r="G219" s="182"/>
      <c r="H219" s="158"/>
      <c r="L219" s="117">
        <v>1</v>
      </c>
      <c r="O219" s="185" t="e">
        <f>D219/#REF!</f>
        <v>#REF!</v>
      </c>
      <c r="Q219" s="376">
        <v>8.9687000000000001</v>
      </c>
    </row>
    <row r="220" spans="1:17" x14ac:dyDescent="0.2">
      <c r="A220" s="366" t="s">
        <v>701</v>
      </c>
      <c r="B220" s="165" t="s">
        <v>702</v>
      </c>
      <c r="C220" s="169" t="s">
        <v>184</v>
      </c>
      <c r="D220" s="358">
        <f t="shared" si="3"/>
        <v>18.924900000000001</v>
      </c>
      <c r="E220" s="220">
        <f>E212</f>
        <v>9.58</v>
      </c>
      <c r="F220" s="183"/>
      <c r="G220" s="182"/>
      <c r="H220" s="158"/>
      <c r="O220" s="185" t="e">
        <f>D220/#REF!</f>
        <v>#REF!</v>
      </c>
      <c r="Q220" s="376">
        <v>18.924900000000001</v>
      </c>
    </row>
    <row r="221" spans="1:17" x14ac:dyDescent="0.2">
      <c r="A221" s="366" t="s">
        <v>703</v>
      </c>
      <c r="B221" s="165" t="s">
        <v>704</v>
      </c>
      <c r="C221" s="169" t="s">
        <v>184</v>
      </c>
      <c r="D221" s="358">
        <f t="shared" si="3"/>
        <v>161.87880000000001</v>
      </c>
      <c r="E221" s="221">
        <f>E213</f>
        <v>11.99</v>
      </c>
      <c r="F221" s="183"/>
      <c r="G221" s="182"/>
      <c r="H221" s="158"/>
      <c r="O221" s="185" t="e">
        <f>D221/#REF!</f>
        <v>#REF!</v>
      </c>
      <c r="Q221" s="376">
        <v>161.87880000000001</v>
      </c>
    </row>
    <row r="222" spans="1:17" x14ac:dyDescent="0.2">
      <c r="A222" s="366" t="s">
        <v>705</v>
      </c>
      <c r="B222" s="165" t="s">
        <v>706</v>
      </c>
      <c r="C222" s="169" t="s">
        <v>7</v>
      </c>
      <c r="D222" s="358">
        <f t="shared" si="3"/>
        <v>39.49</v>
      </c>
      <c r="E222" s="219">
        <f>E215</f>
        <v>31.68</v>
      </c>
      <c r="F222" s="183"/>
      <c r="G222" s="182"/>
      <c r="H222" s="158"/>
      <c r="O222" s="185" t="e">
        <f>D222/#REF!</f>
        <v>#REF!</v>
      </c>
      <c r="Q222" s="376">
        <v>39.49</v>
      </c>
    </row>
    <row r="223" spans="1:17" x14ac:dyDescent="0.2">
      <c r="A223" s="138" t="s">
        <v>707</v>
      </c>
      <c r="B223" s="165" t="s">
        <v>708</v>
      </c>
      <c r="C223" s="169" t="s">
        <v>184</v>
      </c>
      <c r="D223" s="358">
        <f t="shared" si="3"/>
        <v>39.49</v>
      </c>
      <c r="E223" s="220">
        <f>E218</f>
        <v>1.35</v>
      </c>
      <c r="F223" s="183"/>
      <c r="G223" s="182"/>
      <c r="H223" s="158"/>
      <c r="O223" s="185" t="e">
        <f>D223/#REF!</f>
        <v>#REF!</v>
      </c>
      <c r="Q223" s="376">
        <v>39.49</v>
      </c>
    </row>
    <row r="224" spans="1:17" x14ac:dyDescent="0.2">
      <c r="A224" s="138" t="s">
        <v>709</v>
      </c>
      <c r="B224" s="165" t="s">
        <v>710</v>
      </c>
      <c r="C224" s="169" t="s">
        <v>184</v>
      </c>
      <c r="D224" s="358">
        <f t="shared" si="3"/>
        <v>8.89</v>
      </c>
      <c r="E224" s="220">
        <f>E219</f>
        <v>1.2396694214876034</v>
      </c>
      <c r="F224" s="183"/>
      <c r="G224" s="182"/>
      <c r="H224" s="158"/>
      <c r="O224" s="185" t="e">
        <f>D224/#REF!</f>
        <v>#REF!</v>
      </c>
      <c r="Q224" s="376">
        <v>8.89</v>
      </c>
    </row>
    <row r="225" spans="1:17" x14ac:dyDescent="0.2">
      <c r="A225" s="138" t="s">
        <v>711</v>
      </c>
      <c r="B225" s="165" t="s">
        <v>712</v>
      </c>
      <c r="C225" s="169" t="s">
        <v>184</v>
      </c>
      <c r="D225" s="358">
        <f t="shared" si="3"/>
        <v>4.0964999999999998</v>
      </c>
      <c r="E225" s="219">
        <v>1.1299999999999999</v>
      </c>
      <c r="F225" s="183"/>
      <c r="G225" s="182"/>
      <c r="H225" s="158"/>
      <c r="O225" s="185" t="e">
        <f>D225/#REF!</f>
        <v>#REF!</v>
      </c>
      <c r="Q225" s="376">
        <v>4.0964999999999998</v>
      </c>
    </row>
    <row r="226" spans="1:17" x14ac:dyDescent="0.2">
      <c r="A226" s="138" t="s">
        <v>713</v>
      </c>
      <c r="B226" s="165" t="s">
        <v>714</v>
      </c>
      <c r="C226" s="169" t="s">
        <v>184</v>
      </c>
      <c r="D226" s="358">
        <f t="shared" si="3"/>
        <v>13.8667</v>
      </c>
      <c r="E226" s="219">
        <v>1.85</v>
      </c>
      <c r="F226" s="183"/>
      <c r="G226" s="182"/>
      <c r="H226" s="158"/>
      <c r="O226" s="185" t="e">
        <f>D226/#REF!</f>
        <v>#REF!</v>
      </c>
      <c r="Q226" s="376">
        <v>13.8667</v>
      </c>
    </row>
    <row r="227" spans="1:17" x14ac:dyDescent="0.2">
      <c r="A227" s="366" t="s">
        <v>715</v>
      </c>
      <c r="B227" s="165" t="s">
        <v>716</v>
      </c>
      <c r="C227" s="169" t="s">
        <v>184</v>
      </c>
      <c r="D227" s="358">
        <f t="shared" si="3"/>
        <v>10.501899999999999</v>
      </c>
      <c r="E227" s="220">
        <f>E232</f>
        <v>0.61</v>
      </c>
      <c r="F227" s="183"/>
      <c r="G227" s="182"/>
      <c r="H227" s="158"/>
      <c r="O227" s="185" t="e">
        <f>D227/#REF!</f>
        <v>#REF!</v>
      </c>
      <c r="Q227" s="376">
        <v>10.501899999999999</v>
      </c>
    </row>
    <row r="228" spans="1:17" x14ac:dyDescent="0.2">
      <c r="A228" s="366" t="s">
        <v>717</v>
      </c>
      <c r="B228" s="165" t="s">
        <v>718</v>
      </c>
      <c r="C228" s="169" t="s">
        <v>184</v>
      </c>
      <c r="D228" s="358">
        <f t="shared" si="3"/>
        <v>14.938000000000001</v>
      </c>
      <c r="E228" s="220">
        <f>E234</f>
        <v>0.51</v>
      </c>
      <c r="F228" s="183"/>
      <c r="G228" s="182"/>
      <c r="H228" s="158"/>
      <c r="O228" s="185" t="e">
        <f>D228/#REF!</f>
        <v>#REF!</v>
      </c>
      <c r="Q228" s="376">
        <v>14.938000000000001</v>
      </c>
    </row>
    <row r="229" spans="1:17" x14ac:dyDescent="0.2">
      <c r="A229" s="366" t="s">
        <v>719</v>
      </c>
      <c r="B229" s="165" t="s">
        <v>720</v>
      </c>
      <c r="C229" s="169" t="s">
        <v>184</v>
      </c>
      <c r="D229" s="358">
        <f t="shared" si="3"/>
        <v>24.975000000000001</v>
      </c>
      <c r="E229" s="220">
        <f>E233</f>
        <v>0.76</v>
      </c>
      <c r="F229" s="183"/>
      <c r="G229" s="182"/>
      <c r="H229" s="158"/>
      <c r="O229" s="185" t="e">
        <f>D229/#REF!</f>
        <v>#REF!</v>
      </c>
      <c r="Q229" s="376">
        <v>24.975000000000001</v>
      </c>
    </row>
    <row r="230" spans="1:17" x14ac:dyDescent="0.2">
      <c r="A230" s="138" t="s">
        <v>721</v>
      </c>
      <c r="B230" s="165" t="s">
        <v>722</v>
      </c>
      <c r="C230" s="169" t="s">
        <v>184</v>
      </c>
      <c r="D230" s="358">
        <f t="shared" si="3"/>
        <v>30.785</v>
      </c>
      <c r="E230" s="219">
        <v>14.11</v>
      </c>
      <c r="F230" s="183"/>
      <c r="G230" s="182"/>
      <c r="H230" s="158"/>
      <c r="O230" s="185" t="e">
        <f>D230/#REF!</f>
        <v>#REF!</v>
      </c>
      <c r="Q230" s="376">
        <v>30.785</v>
      </c>
    </row>
    <row r="231" spans="1:17" x14ac:dyDescent="0.2">
      <c r="A231" s="138" t="s">
        <v>723</v>
      </c>
      <c r="B231" s="165" t="s">
        <v>724</v>
      </c>
      <c r="C231" s="169" t="s">
        <v>184</v>
      </c>
      <c r="D231" s="358">
        <f t="shared" si="3"/>
        <v>141.245</v>
      </c>
      <c r="E231" s="220">
        <v>9.26</v>
      </c>
      <c r="F231" s="183"/>
      <c r="G231" s="182"/>
      <c r="H231" s="158"/>
      <c r="O231" s="185" t="e">
        <f>D231/#REF!</f>
        <v>#REF!</v>
      </c>
      <c r="Q231" s="376">
        <v>141.245</v>
      </c>
    </row>
    <row r="232" spans="1:17" x14ac:dyDescent="0.2">
      <c r="A232" s="138" t="s">
        <v>725</v>
      </c>
      <c r="B232" s="165" t="s">
        <v>726</v>
      </c>
      <c r="C232" s="169" t="s">
        <v>184</v>
      </c>
      <c r="D232" s="358">
        <f t="shared" si="3"/>
        <v>5.7789000000000001</v>
      </c>
      <c r="E232" s="219">
        <v>0.61</v>
      </c>
      <c r="F232" s="183"/>
      <c r="G232" s="182"/>
      <c r="H232" s="158"/>
      <c r="O232" s="185" t="e">
        <f>D232/#REF!</f>
        <v>#REF!</v>
      </c>
      <c r="Q232" s="376">
        <v>5.7789000000000001</v>
      </c>
    </row>
    <row r="233" spans="1:17" x14ac:dyDescent="0.2">
      <c r="A233" s="138" t="s">
        <v>727</v>
      </c>
      <c r="B233" s="165" t="s">
        <v>728</v>
      </c>
      <c r="C233" s="169" t="s">
        <v>184</v>
      </c>
      <c r="D233" s="358">
        <f t="shared" si="3"/>
        <v>6.7812999999999999</v>
      </c>
      <c r="E233" s="219">
        <v>0.76</v>
      </c>
      <c r="F233" s="183"/>
      <c r="G233" s="182"/>
      <c r="H233" s="158"/>
      <c r="O233" s="185" t="e">
        <f>D233/#REF!</f>
        <v>#REF!</v>
      </c>
      <c r="Q233" s="376">
        <v>6.7812999999999999</v>
      </c>
    </row>
    <row r="234" spans="1:17" x14ac:dyDescent="0.2">
      <c r="A234" s="138" t="s">
        <v>729</v>
      </c>
      <c r="B234" s="165" t="s">
        <v>730</v>
      </c>
      <c r="C234" s="169" t="s">
        <v>184</v>
      </c>
      <c r="D234" s="358">
        <f t="shared" si="3"/>
        <v>4.3742999999999999</v>
      </c>
      <c r="E234" s="219">
        <v>0.51</v>
      </c>
      <c r="F234" s="183"/>
      <c r="G234" s="182"/>
      <c r="H234" s="158"/>
      <c r="O234" s="185" t="e">
        <f>D234/#REF!</f>
        <v>#REF!</v>
      </c>
      <c r="Q234" s="376">
        <v>4.3742999999999999</v>
      </c>
    </row>
    <row r="235" spans="1:17" x14ac:dyDescent="0.2">
      <c r="A235" s="138" t="s">
        <v>731</v>
      </c>
      <c r="B235" s="137" t="s">
        <v>732</v>
      </c>
      <c r="C235" s="138" t="s">
        <v>733</v>
      </c>
      <c r="D235" s="358">
        <f t="shared" si="3"/>
        <v>1597.95</v>
      </c>
      <c r="E235" s="187">
        <v>165.29</v>
      </c>
      <c r="F235" s="217"/>
      <c r="G235" s="212"/>
      <c r="H235" s="158" t="s">
        <v>734</v>
      </c>
      <c r="L235" s="117">
        <v>2</v>
      </c>
      <c r="O235" s="185" t="e">
        <f>D235/#REF!</f>
        <v>#REF!</v>
      </c>
      <c r="Q235" s="376">
        <v>1597.95</v>
      </c>
    </row>
    <row r="236" spans="1:17" x14ac:dyDescent="0.2">
      <c r="A236" s="138" t="s">
        <v>735</v>
      </c>
      <c r="B236" s="137" t="s">
        <v>736</v>
      </c>
      <c r="C236" s="138" t="s">
        <v>184</v>
      </c>
      <c r="D236" s="358">
        <f t="shared" si="3"/>
        <v>3.6255000000000002</v>
      </c>
      <c r="E236" s="187">
        <v>0.64</v>
      </c>
      <c r="F236" s="183"/>
      <c r="G236" s="182"/>
      <c r="H236" s="158" t="s">
        <v>365</v>
      </c>
      <c r="L236" s="117">
        <v>1</v>
      </c>
      <c r="O236" s="185" t="e">
        <f>D236/#REF!</f>
        <v>#REF!</v>
      </c>
      <c r="Q236" s="376">
        <v>3.6255000000000002</v>
      </c>
    </row>
    <row r="237" spans="1:17" x14ac:dyDescent="0.2">
      <c r="A237" s="138" t="s">
        <v>737</v>
      </c>
      <c r="B237" s="137" t="s">
        <v>738</v>
      </c>
      <c r="C237" s="138" t="s">
        <v>184</v>
      </c>
      <c r="D237" s="358">
        <f t="shared" si="3"/>
        <v>2.84</v>
      </c>
      <c r="E237" s="187">
        <v>0.48</v>
      </c>
      <c r="F237" s="183"/>
      <c r="G237" s="182"/>
      <c r="H237" s="158" t="s">
        <v>365</v>
      </c>
      <c r="L237" s="117">
        <v>1</v>
      </c>
      <c r="O237" s="185" t="e">
        <f>D237/#REF!</f>
        <v>#REF!</v>
      </c>
      <c r="Q237" s="376">
        <v>2.84</v>
      </c>
    </row>
    <row r="238" spans="1:17" x14ac:dyDescent="0.2">
      <c r="A238" s="138" t="s">
        <v>739</v>
      </c>
      <c r="B238" s="137" t="s">
        <v>740</v>
      </c>
      <c r="C238" s="138" t="s">
        <v>184</v>
      </c>
      <c r="D238" s="358">
        <f t="shared" si="3"/>
        <v>4.9000000000000004</v>
      </c>
      <c r="E238" s="187">
        <v>0.84</v>
      </c>
      <c r="F238" s="183"/>
      <c r="G238" s="182"/>
      <c r="H238" s="158" t="s">
        <v>365</v>
      </c>
      <c r="L238" s="117">
        <v>1</v>
      </c>
      <c r="O238" s="185" t="e">
        <f>D238/#REF!</f>
        <v>#REF!</v>
      </c>
      <c r="Q238" s="376">
        <v>4.9000000000000004</v>
      </c>
    </row>
    <row r="239" spans="1:17" x14ac:dyDescent="0.2">
      <c r="A239" s="138" t="s">
        <v>741</v>
      </c>
      <c r="B239" s="137" t="s">
        <v>742</v>
      </c>
      <c r="C239" s="138" t="s">
        <v>184</v>
      </c>
      <c r="D239" s="358">
        <f t="shared" si="3"/>
        <v>6.66</v>
      </c>
      <c r="E239" s="187">
        <v>1.1000000000000001</v>
      </c>
      <c r="F239" s="183"/>
      <c r="G239" s="182"/>
      <c r="H239" s="158" t="s">
        <v>365</v>
      </c>
      <c r="L239" s="117">
        <v>1</v>
      </c>
      <c r="O239" s="185" t="e">
        <f>D239/#REF!</f>
        <v>#REF!</v>
      </c>
      <c r="Q239" s="376">
        <v>6.66</v>
      </c>
    </row>
    <row r="240" spans="1:17" x14ac:dyDescent="0.2">
      <c r="A240" s="138" t="s">
        <v>743</v>
      </c>
      <c r="B240" s="137" t="s">
        <v>744</v>
      </c>
      <c r="C240" s="138" t="s">
        <v>184</v>
      </c>
      <c r="D240" s="358">
        <f t="shared" si="3"/>
        <v>7.47</v>
      </c>
      <c r="E240" s="187">
        <v>1.0900000000000001</v>
      </c>
      <c r="F240" s="183"/>
      <c r="G240" s="182"/>
      <c r="H240" s="158" t="s">
        <v>365</v>
      </c>
      <c r="L240" s="117">
        <v>1</v>
      </c>
      <c r="O240" s="185" t="e">
        <f>D240/#REF!</f>
        <v>#REF!</v>
      </c>
      <c r="Q240" s="376">
        <v>7.47</v>
      </c>
    </row>
    <row r="241" spans="1:17" x14ac:dyDescent="0.2">
      <c r="A241" s="138" t="s">
        <v>745</v>
      </c>
      <c r="B241" s="137" t="s">
        <v>746</v>
      </c>
      <c r="C241" s="138" t="s">
        <v>16</v>
      </c>
      <c r="D241" s="358">
        <f t="shared" si="3"/>
        <v>1.72</v>
      </c>
      <c r="E241" s="222">
        <v>0.34</v>
      </c>
      <c r="F241" s="217"/>
      <c r="G241" s="182"/>
      <c r="H241" s="218" t="s">
        <v>359</v>
      </c>
      <c r="L241" s="117">
        <v>2</v>
      </c>
      <c r="O241" s="185" t="e">
        <f>D241/#REF!</f>
        <v>#REF!</v>
      </c>
      <c r="Q241" s="376">
        <v>1.72</v>
      </c>
    </row>
    <row r="242" spans="1:17" x14ac:dyDescent="0.2">
      <c r="A242" s="138" t="s">
        <v>747</v>
      </c>
      <c r="B242" s="137" t="s">
        <v>748</v>
      </c>
      <c r="C242" s="138" t="s">
        <v>16</v>
      </c>
      <c r="D242" s="358">
        <f t="shared" si="3"/>
        <v>1.57</v>
      </c>
      <c r="E242" s="187">
        <f>5.23/25/1.21</f>
        <v>0.17289256198347111</v>
      </c>
      <c r="F242" s="183"/>
      <c r="G242" s="182"/>
      <c r="H242" s="184"/>
      <c r="L242" s="117">
        <v>1</v>
      </c>
      <c r="O242" s="185" t="e">
        <f>D242/#REF!</f>
        <v>#REF!</v>
      </c>
      <c r="Q242" s="376">
        <v>1.57</v>
      </c>
    </row>
    <row r="243" spans="1:17" x14ac:dyDescent="0.2">
      <c r="A243" s="138" t="s">
        <v>749</v>
      </c>
      <c r="B243" s="137" t="s">
        <v>750</v>
      </c>
      <c r="C243" s="138" t="s">
        <v>664</v>
      </c>
      <c r="D243" s="358">
        <f t="shared" si="3"/>
        <v>71.36</v>
      </c>
      <c r="E243" s="187">
        <v>54</v>
      </c>
      <c r="F243" s="183"/>
      <c r="G243" s="182"/>
      <c r="H243" s="158" t="s">
        <v>751</v>
      </c>
      <c r="L243" s="117">
        <v>1</v>
      </c>
      <c r="O243" s="185" t="e">
        <f>D243/#REF!</f>
        <v>#REF!</v>
      </c>
      <c r="Q243" s="376">
        <v>71.36</v>
      </c>
    </row>
    <row r="244" spans="1:17" ht="16.5" x14ac:dyDescent="0.3">
      <c r="A244" s="138" t="s">
        <v>752</v>
      </c>
      <c r="B244" s="137" t="s">
        <v>753</v>
      </c>
      <c r="C244" s="138" t="s">
        <v>16</v>
      </c>
      <c r="D244" s="358">
        <f t="shared" si="3"/>
        <v>1.4686999999999999</v>
      </c>
      <c r="E244" s="223">
        <v>0.28000000000000003</v>
      </c>
      <c r="F244" s="217"/>
      <c r="G244" s="182"/>
      <c r="H244" s="194" t="s">
        <v>754</v>
      </c>
      <c r="J244" s="117">
        <f>0.2416+0.021</f>
        <v>0.2626</v>
      </c>
      <c r="L244" s="117">
        <v>2</v>
      </c>
      <c r="O244" s="185" t="e">
        <f>D244/#REF!</f>
        <v>#REF!</v>
      </c>
      <c r="Q244" s="376">
        <v>1.4686999999999999</v>
      </c>
    </row>
    <row r="245" spans="1:17" x14ac:dyDescent="0.2">
      <c r="A245" s="138" t="s">
        <v>755</v>
      </c>
      <c r="B245" s="137" t="s">
        <v>756</v>
      </c>
      <c r="C245" s="138" t="s">
        <v>262</v>
      </c>
      <c r="D245" s="358">
        <f t="shared" si="3"/>
        <v>1367.4039</v>
      </c>
      <c r="E245" s="187">
        <v>172.9</v>
      </c>
      <c r="F245" s="183"/>
      <c r="G245" s="224"/>
      <c r="H245" s="194" t="s">
        <v>757</v>
      </c>
      <c r="L245" s="117">
        <v>1</v>
      </c>
      <c r="O245" s="185" t="e">
        <f>D245/#REF!</f>
        <v>#REF!</v>
      </c>
      <c r="Q245" s="376">
        <v>1367.4039</v>
      </c>
    </row>
    <row r="246" spans="1:17" x14ac:dyDescent="0.2">
      <c r="A246" s="138" t="s">
        <v>758</v>
      </c>
      <c r="B246" s="137" t="s">
        <v>759</v>
      </c>
      <c r="C246" s="138" t="s">
        <v>16</v>
      </c>
      <c r="D246" s="358">
        <f t="shared" si="3"/>
        <v>2.9733000000000001</v>
      </c>
      <c r="E246" s="187">
        <v>0.43</v>
      </c>
      <c r="F246" s="183"/>
      <c r="G246" s="182"/>
      <c r="H246" s="158" t="s">
        <v>760</v>
      </c>
      <c r="L246" s="117">
        <v>3</v>
      </c>
      <c r="O246" s="185" t="e">
        <f>D246/#REF!</f>
        <v>#REF!</v>
      </c>
      <c r="Q246" s="376">
        <v>2.9733000000000001</v>
      </c>
    </row>
    <row r="247" spans="1:17" x14ac:dyDescent="0.2">
      <c r="A247" s="138" t="s">
        <v>761</v>
      </c>
      <c r="B247" s="137" t="s">
        <v>762</v>
      </c>
      <c r="C247" s="138" t="s">
        <v>14</v>
      </c>
      <c r="D247" s="358">
        <f t="shared" si="3"/>
        <v>79.004999999999995</v>
      </c>
      <c r="E247" s="187">
        <v>13.44</v>
      </c>
      <c r="F247" s="217"/>
      <c r="G247" s="182"/>
      <c r="H247" s="158" t="s">
        <v>763</v>
      </c>
      <c r="L247" s="117">
        <v>2</v>
      </c>
      <c r="O247" s="185" t="e">
        <f>D247/#REF!</f>
        <v>#REF!</v>
      </c>
      <c r="Q247" s="376">
        <v>79.004999999999995</v>
      </c>
    </row>
    <row r="248" spans="1:17" x14ac:dyDescent="0.2">
      <c r="A248" s="138" t="s">
        <v>764</v>
      </c>
      <c r="B248" s="137" t="s">
        <v>765</v>
      </c>
      <c r="C248" s="138" t="s">
        <v>7</v>
      </c>
      <c r="D248" s="358">
        <f t="shared" si="3"/>
        <v>15.85</v>
      </c>
      <c r="E248" s="187">
        <v>2.59</v>
      </c>
      <c r="F248" s="217"/>
      <c r="G248" s="182"/>
      <c r="H248" s="158"/>
      <c r="L248" s="117">
        <v>2</v>
      </c>
      <c r="O248" s="185" t="e">
        <f>D248/#REF!</f>
        <v>#REF!</v>
      </c>
      <c r="Q248" s="376">
        <v>15.85</v>
      </c>
    </row>
    <row r="249" spans="1:17" x14ac:dyDescent="0.2">
      <c r="A249" s="138" t="s">
        <v>766</v>
      </c>
      <c r="B249" s="137" t="s">
        <v>767</v>
      </c>
      <c r="C249" s="138" t="s">
        <v>14</v>
      </c>
      <c r="D249" s="358">
        <f t="shared" si="3"/>
        <v>80.599999999999994</v>
      </c>
      <c r="E249" s="187">
        <v>14.88</v>
      </c>
      <c r="F249" s="217"/>
      <c r="G249" s="182"/>
      <c r="H249" s="158"/>
      <c r="L249" s="117">
        <v>2</v>
      </c>
      <c r="O249" s="185" t="e">
        <f>D249/#REF!</f>
        <v>#REF!</v>
      </c>
      <c r="Q249" s="376">
        <v>80.599999999999994</v>
      </c>
    </row>
    <row r="250" spans="1:17" x14ac:dyDescent="0.2">
      <c r="A250" s="138" t="s">
        <v>768</v>
      </c>
      <c r="B250" s="137" t="s">
        <v>769</v>
      </c>
      <c r="C250" s="138" t="s">
        <v>14</v>
      </c>
      <c r="D250" s="358">
        <f t="shared" si="3"/>
        <v>61.19</v>
      </c>
      <c r="E250" s="187">
        <v>11.16</v>
      </c>
      <c r="F250" s="217"/>
      <c r="G250" s="182"/>
      <c r="H250" s="158"/>
      <c r="O250" s="185" t="e">
        <f>D250/#REF!</f>
        <v>#REF!</v>
      </c>
      <c r="Q250" s="376">
        <v>61.19</v>
      </c>
    </row>
    <row r="251" spans="1:17" x14ac:dyDescent="0.2">
      <c r="A251" s="366" t="s">
        <v>770</v>
      </c>
      <c r="B251" s="137" t="s">
        <v>771</v>
      </c>
      <c r="C251" s="138" t="s">
        <v>14</v>
      </c>
      <c r="D251" s="358">
        <f t="shared" si="3"/>
        <v>67.525000000000006</v>
      </c>
      <c r="E251" s="202">
        <f>12.8/1.21</f>
        <v>10.578512396694215</v>
      </c>
      <c r="F251" s="217"/>
      <c r="G251" s="182"/>
      <c r="H251" s="184"/>
      <c r="L251" s="117">
        <v>2</v>
      </c>
      <c r="O251" s="185" t="e">
        <f>D251/#REF!</f>
        <v>#REF!</v>
      </c>
      <c r="Q251" s="376">
        <v>67.525000000000006</v>
      </c>
    </row>
    <row r="252" spans="1:17" x14ac:dyDescent="0.2">
      <c r="A252" s="138" t="s">
        <v>770</v>
      </c>
      <c r="B252" s="137" t="s">
        <v>772</v>
      </c>
      <c r="C252" s="138" t="s">
        <v>14</v>
      </c>
      <c r="D252" s="358">
        <f t="shared" si="3"/>
        <v>67.525000000000006</v>
      </c>
      <c r="E252" s="222">
        <v>11.49</v>
      </c>
      <c r="F252" s="217"/>
      <c r="G252" s="182"/>
      <c r="H252" s="158"/>
      <c r="L252" s="117">
        <v>2</v>
      </c>
      <c r="O252" s="185" t="e">
        <f>D252/#REF!</f>
        <v>#REF!</v>
      </c>
      <c r="Q252" s="376">
        <v>67.525000000000006</v>
      </c>
    </row>
    <row r="253" spans="1:17" x14ac:dyDescent="0.2">
      <c r="A253" s="138" t="s">
        <v>773</v>
      </c>
      <c r="B253" s="137" t="s">
        <v>774</v>
      </c>
      <c r="C253" s="138" t="s">
        <v>14</v>
      </c>
      <c r="D253" s="358">
        <f t="shared" si="3"/>
        <v>41.07</v>
      </c>
      <c r="E253" s="222">
        <v>7.44</v>
      </c>
      <c r="F253" s="217"/>
      <c r="G253" s="182"/>
      <c r="H253" s="158"/>
      <c r="O253" s="185" t="e">
        <f>D253/#REF!</f>
        <v>#REF!</v>
      </c>
      <c r="Q253" s="376">
        <v>41.07</v>
      </c>
    </row>
    <row r="254" spans="1:17" x14ac:dyDescent="0.2">
      <c r="A254" s="138" t="s">
        <v>775</v>
      </c>
      <c r="B254" s="137" t="s">
        <v>776</v>
      </c>
      <c r="C254" s="138" t="s">
        <v>7</v>
      </c>
      <c r="D254" s="358">
        <f t="shared" si="3"/>
        <v>8.6072000000000006</v>
      </c>
      <c r="E254" s="222">
        <v>0.91</v>
      </c>
      <c r="F254" s="217"/>
      <c r="G254" s="182"/>
      <c r="H254" s="158"/>
      <c r="O254" s="185" t="e">
        <f>D254/#REF!</f>
        <v>#REF!</v>
      </c>
      <c r="Q254" s="376">
        <v>8.6072000000000006</v>
      </c>
    </row>
    <row r="255" spans="1:17" x14ac:dyDescent="0.2">
      <c r="A255" s="138" t="s">
        <v>777</v>
      </c>
      <c r="B255" s="137" t="s">
        <v>778</v>
      </c>
      <c r="C255" s="138" t="s">
        <v>7</v>
      </c>
      <c r="D255" s="358">
        <f t="shared" si="3"/>
        <v>37.67</v>
      </c>
      <c r="E255" s="187">
        <v>6.5</v>
      </c>
      <c r="F255" s="217"/>
      <c r="G255" s="182"/>
      <c r="H255" s="158"/>
      <c r="L255" s="117">
        <v>2</v>
      </c>
      <c r="O255" s="185" t="e">
        <f>D255/#REF!</f>
        <v>#REF!</v>
      </c>
      <c r="Q255" s="376">
        <v>37.67</v>
      </c>
    </row>
    <row r="256" spans="1:17" x14ac:dyDescent="0.2">
      <c r="A256" s="138" t="s">
        <v>779</v>
      </c>
      <c r="B256" s="137" t="s">
        <v>780</v>
      </c>
      <c r="C256" s="138" t="s">
        <v>14</v>
      </c>
      <c r="D256" s="358">
        <f t="shared" si="3"/>
        <v>109.889</v>
      </c>
      <c r="E256" s="187">
        <v>24.8065</v>
      </c>
      <c r="F256" s="217"/>
      <c r="G256" s="182"/>
      <c r="H256" s="158"/>
      <c r="O256" s="185" t="e">
        <f>D256/#REF!</f>
        <v>#REF!</v>
      </c>
      <c r="Q256" s="376">
        <v>109.889</v>
      </c>
    </row>
    <row r="257" spans="1:17" x14ac:dyDescent="0.2">
      <c r="A257" s="138" t="s">
        <v>781</v>
      </c>
      <c r="B257" s="137" t="s">
        <v>782</v>
      </c>
      <c r="C257" s="138" t="s">
        <v>14</v>
      </c>
      <c r="D257" s="358">
        <f t="shared" si="3"/>
        <v>120.833</v>
      </c>
      <c r="E257" s="187">
        <v>28.105</v>
      </c>
      <c r="F257" s="217"/>
      <c r="G257" s="182"/>
      <c r="H257" s="158"/>
      <c r="O257" s="185" t="e">
        <f>D257/#REF!</f>
        <v>#REF!</v>
      </c>
      <c r="Q257" s="376">
        <v>120.833</v>
      </c>
    </row>
    <row r="258" spans="1:17" x14ac:dyDescent="0.2">
      <c r="A258" s="138" t="s">
        <v>783</v>
      </c>
      <c r="B258" s="137" t="s">
        <v>784</v>
      </c>
      <c r="C258" s="138" t="s">
        <v>7</v>
      </c>
      <c r="D258" s="358">
        <f t="shared" si="3"/>
        <v>3.4950000000000001</v>
      </c>
      <c r="E258" s="187">
        <v>0.63</v>
      </c>
      <c r="F258" s="217"/>
      <c r="G258" s="182"/>
      <c r="H258" s="158"/>
      <c r="L258" s="117">
        <v>2</v>
      </c>
      <c r="O258" s="185" t="e">
        <f>D258/#REF!</f>
        <v>#REF!</v>
      </c>
      <c r="Q258" s="376">
        <v>3.4950000000000001</v>
      </c>
    </row>
    <row r="259" spans="1:17" x14ac:dyDescent="0.2">
      <c r="A259" s="138" t="s">
        <v>785</v>
      </c>
      <c r="B259" s="137" t="s">
        <v>786</v>
      </c>
      <c r="C259" s="138" t="s">
        <v>7</v>
      </c>
      <c r="D259" s="358">
        <f t="shared" si="3"/>
        <v>19.559999999999999</v>
      </c>
      <c r="E259" s="187">
        <v>3.9668999999999999</v>
      </c>
      <c r="F259" s="217"/>
      <c r="G259" s="182"/>
      <c r="H259" s="158"/>
      <c r="O259" s="185" t="e">
        <f>D259/#REF!</f>
        <v>#REF!</v>
      </c>
      <c r="Q259" s="376">
        <v>19.559999999999999</v>
      </c>
    </row>
    <row r="260" spans="1:17" x14ac:dyDescent="0.2">
      <c r="A260" s="138" t="s">
        <v>787</v>
      </c>
      <c r="B260" s="137" t="s">
        <v>788</v>
      </c>
      <c r="C260" s="138" t="s">
        <v>14</v>
      </c>
      <c r="D260" s="358">
        <f t="shared" si="3"/>
        <v>270.58</v>
      </c>
      <c r="E260" s="187">
        <v>48.677700000000002</v>
      </c>
      <c r="F260" s="217"/>
      <c r="G260" s="182"/>
      <c r="H260" s="158"/>
      <c r="O260" s="185" t="e">
        <f>D260/#REF!</f>
        <v>#REF!</v>
      </c>
      <c r="Q260" s="376">
        <v>270.58</v>
      </c>
    </row>
    <row r="261" spans="1:17" x14ac:dyDescent="0.2">
      <c r="A261" s="138" t="s">
        <v>789</v>
      </c>
      <c r="B261" s="137" t="s">
        <v>790</v>
      </c>
      <c r="C261" s="138" t="s">
        <v>7</v>
      </c>
      <c r="D261" s="358">
        <f t="shared" si="3"/>
        <v>36.409999999999997</v>
      </c>
      <c r="E261" s="187">
        <v>7.7934000000000001</v>
      </c>
      <c r="F261" s="217"/>
      <c r="G261" s="182"/>
      <c r="H261" s="158"/>
      <c r="O261" s="185" t="e">
        <f>D261/#REF!</f>
        <v>#REF!</v>
      </c>
      <c r="Q261" s="376">
        <v>36.409999999999997</v>
      </c>
    </row>
    <row r="262" spans="1:17" x14ac:dyDescent="0.2">
      <c r="A262" s="138" t="s">
        <v>791</v>
      </c>
      <c r="B262" s="137" t="s">
        <v>792</v>
      </c>
      <c r="C262" s="138" t="s">
        <v>7</v>
      </c>
      <c r="D262" s="358">
        <f t="shared" si="3"/>
        <v>13.47</v>
      </c>
      <c r="E262" s="187">
        <v>2.2397</v>
      </c>
      <c r="F262" s="217"/>
      <c r="G262" s="182"/>
      <c r="H262" s="158"/>
      <c r="L262" s="117">
        <v>2</v>
      </c>
      <c r="O262" s="185" t="e">
        <f>D262/#REF!</f>
        <v>#REF!</v>
      </c>
      <c r="Q262" s="376">
        <v>13.47</v>
      </c>
    </row>
    <row r="263" spans="1:17" x14ac:dyDescent="0.2">
      <c r="A263" s="138" t="s">
        <v>793</v>
      </c>
      <c r="B263" s="137" t="s">
        <v>794</v>
      </c>
      <c r="C263" s="138" t="s">
        <v>184</v>
      </c>
      <c r="D263" s="358">
        <f t="shared" si="3"/>
        <v>190.08</v>
      </c>
      <c r="E263" s="225"/>
      <c r="F263" s="183"/>
      <c r="G263" s="195">
        <v>27</v>
      </c>
      <c r="H263" s="226" t="s">
        <v>795</v>
      </c>
      <c r="L263" s="117">
        <v>1</v>
      </c>
      <c r="O263" s="185" t="e">
        <f>D263/#REF!</f>
        <v>#REF!</v>
      </c>
      <c r="Q263" s="376">
        <v>190.08</v>
      </c>
    </row>
    <row r="264" spans="1:17" x14ac:dyDescent="0.2">
      <c r="A264" s="138" t="s">
        <v>796</v>
      </c>
      <c r="B264" s="137" t="s">
        <v>797</v>
      </c>
      <c r="C264" s="138" t="s">
        <v>184</v>
      </c>
      <c r="D264" s="358">
        <f t="shared" ref="D264:D327" si="4">Q264</f>
        <v>98.35</v>
      </c>
      <c r="E264" s="225"/>
      <c r="F264" s="183"/>
      <c r="G264" s="195">
        <v>18</v>
      </c>
      <c r="H264" s="226" t="s">
        <v>795</v>
      </c>
      <c r="L264" s="117">
        <v>1</v>
      </c>
      <c r="O264" s="185" t="e">
        <f>D264/#REF!</f>
        <v>#REF!</v>
      </c>
      <c r="Q264" s="376">
        <v>98.35</v>
      </c>
    </row>
    <row r="265" spans="1:17" x14ac:dyDescent="0.2">
      <c r="A265" s="138" t="s">
        <v>798</v>
      </c>
      <c r="B265" s="137" t="s">
        <v>799</v>
      </c>
      <c r="C265" s="138" t="s">
        <v>184</v>
      </c>
      <c r="D265" s="358">
        <f t="shared" si="4"/>
        <v>8.26</v>
      </c>
      <c r="E265" s="202"/>
      <c r="F265" s="183"/>
      <c r="G265" s="195">
        <v>1.1000000000000001</v>
      </c>
      <c r="H265" s="226" t="s">
        <v>795</v>
      </c>
      <c r="L265" s="117">
        <v>1</v>
      </c>
      <c r="O265" s="185" t="e">
        <f>D265/#REF!</f>
        <v>#REF!</v>
      </c>
      <c r="Q265" s="376">
        <v>8.26</v>
      </c>
    </row>
    <row r="266" spans="1:17" x14ac:dyDescent="0.2">
      <c r="A266" s="138" t="s">
        <v>800</v>
      </c>
      <c r="B266" s="137" t="s">
        <v>801</v>
      </c>
      <c r="C266" s="138" t="s">
        <v>184</v>
      </c>
      <c r="D266" s="358">
        <f t="shared" si="4"/>
        <v>7.02</v>
      </c>
      <c r="E266" s="202"/>
      <c r="F266" s="183"/>
      <c r="G266" s="195">
        <v>0.9</v>
      </c>
      <c r="H266" s="226" t="s">
        <v>795</v>
      </c>
      <c r="L266" s="117">
        <v>1</v>
      </c>
      <c r="O266" s="185" t="e">
        <f>D266/#REF!</f>
        <v>#REF!</v>
      </c>
      <c r="Q266" s="376">
        <v>7.02</v>
      </c>
    </row>
    <row r="267" spans="1:17" x14ac:dyDescent="0.2">
      <c r="A267" s="138" t="s">
        <v>802</v>
      </c>
      <c r="B267" s="137" t="s">
        <v>803</v>
      </c>
      <c r="C267" s="138" t="s">
        <v>184</v>
      </c>
      <c r="D267" s="358">
        <f t="shared" si="4"/>
        <v>2885.73</v>
      </c>
      <c r="E267" s="202"/>
      <c r="F267" s="183"/>
      <c r="G267" s="195">
        <f>322+91+910</f>
        <v>1323</v>
      </c>
      <c r="H267" s="226" t="s">
        <v>795</v>
      </c>
      <c r="I267" s="226"/>
      <c r="J267" s="227"/>
      <c r="L267" s="117">
        <v>1</v>
      </c>
      <c r="O267" s="185" t="e">
        <f>D267/#REF!</f>
        <v>#REF!</v>
      </c>
      <c r="Q267" s="376">
        <v>2885.73</v>
      </c>
    </row>
    <row r="268" spans="1:17" x14ac:dyDescent="0.2">
      <c r="A268" s="138" t="s">
        <v>804</v>
      </c>
      <c r="B268" s="137" t="s">
        <v>805</v>
      </c>
      <c r="C268" s="138" t="s">
        <v>14</v>
      </c>
      <c r="D268" s="358">
        <f t="shared" si="4"/>
        <v>192.2355</v>
      </c>
      <c r="E268" s="187">
        <v>27.76</v>
      </c>
      <c r="F268" s="183" t="s">
        <v>242</v>
      </c>
      <c r="G268" s="228"/>
      <c r="H268" s="226"/>
      <c r="I268" s="226"/>
      <c r="J268" s="227"/>
      <c r="O268" s="185" t="e">
        <f>D268/#REF!</f>
        <v>#REF!</v>
      </c>
      <c r="Q268" s="376">
        <v>192.2355</v>
      </c>
    </row>
    <row r="269" spans="1:17" x14ac:dyDescent="0.2">
      <c r="A269" s="138" t="s">
        <v>806</v>
      </c>
      <c r="B269" s="137" t="s">
        <v>807</v>
      </c>
      <c r="C269" s="138" t="s">
        <v>479</v>
      </c>
      <c r="D269" s="358">
        <f t="shared" si="4"/>
        <v>63.11</v>
      </c>
      <c r="E269" s="201">
        <v>5.6120000000000001</v>
      </c>
      <c r="F269" s="183"/>
      <c r="G269" s="182"/>
      <c r="H269" s="184" t="s">
        <v>808</v>
      </c>
      <c r="I269" s="229">
        <f>106.9/176</f>
        <v>0.60738636363636367</v>
      </c>
      <c r="J269" s="230" t="s">
        <v>809</v>
      </c>
      <c r="L269" s="117">
        <v>1</v>
      </c>
      <c r="O269" s="185" t="e">
        <f>D269/#REF!</f>
        <v>#REF!</v>
      </c>
      <c r="Q269" s="376">
        <v>63.11</v>
      </c>
    </row>
    <row r="270" spans="1:17" x14ac:dyDescent="0.2">
      <c r="A270" s="138" t="s">
        <v>810</v>
      </c>
      <c r="B270" s="137" t="s">
        <v>811</v>
      </c>
      <c r="C270" s="138" t="s">
        <v>479</v>
      </c>
      <c r="D270" s="358">
        <f t="shared" si="4"/>
        <v>53.75</v>
      </c>
      <c r="E270" s="201">
        <v>5.3780000000000001</v>
      </c>
      <c r="F270" s="183"/>
      <c r="G270" s="182"/>
      <c r="H270" s="184"/>
      <c r="I270" s="231">
        <v>6.9000000000000006E-2</v>
      </c>
      <c r="J270" s="117" t="s">
        <v>812</v>
      </c>
      <c r="L270" s="117">
        <v>1</v>
      </c>
      <c r="O270" s="185" t="e">
        <f>D270/#REF!</f>
        <v>#REF!</v>
      </c>
      <c r="Q270" s="376">
        <v>53.75</v>
      </c>
    </row>
    <row r="271" spans="1:17" x14ac:dyDescent="0.2">
      <c r="A271" s="138" t="s">
        <v>813</v>
      </c>
      <c r="B271" s="137" t="s">
        <v>814</v>
      </c>
      <c r="C271" s="138" t="s">
        <v>479</v>
      </c>
      <c r="D271" s="358">
        <f t="shared" si="4"/>
        <v>49.53</v>
      </c>
      <c r="E271" s="201">
        <v>5.2210000000000001</v>
      </c>
      <c r="F271" s="183"/>
      <c r="G271" s="182"/>
      <c r="H271" s="184"/>
      <c r="L271" s="117">
        <v>1</v>
      </c>
      <c r="O271" s="185" t="e">
        <f>D271/#REF!</f>
        <v>#REF!</v>
      </c>
      <c r="Q271" s="376">
        <v>49.53</v>
      </c>
    </row>
    <row r="272" spans="1:17" x14ac:dyDescent="0.2">
      <c r="A272" s="138" t="s">
        <v>815</v>
      </c>
      <c r="B272" s="137" t="s">
        <v>816</v>
      </c>
      <c r="C272" s="138" t="s">
        <v>479</v>
      </c>
      <c r="D272" s="358">
        <f t="shared" si="4"/>
        <v>45.48</v>
      </c>
      <c r="E272" s="201">
        <v>5.1820000000000004</v>
      </c>
      <c r="F272" s="183"/>
      <c r="G272" s="182"/>
      <c r="H272" s="184"/>
      <c r="L272" s="117">
        <v>1</v>
      </c>
      <c r="O272" s="185" t="e">
        <f>D272/#REF!</f>
        <v>#REF!</v>
      </c>
      <c r="Q272" s="376">
        <v>45.48</v>
      </c>
    </row>
    <row r="273" spans="1:17" x14ac:dyDescent="0.2">
      <c r="A273" s="138" t="s">
        <v>817</v>
      </c>
      <c r="B273" s="137" t="s">
        <v>818</v>
      </c>
      <c r="C273" s="138" t="s">
        <v>479</v>
      </c>
      <c r="D273" s="358">
        <f t="shared" si="4"/>
        <v>54.11</v>
      </c>
      <c r="E273" s="232">
        <f>(E272+E270+E269)/3</f>
        <v>5.3906666666666672</v>
      </c>
      <c r="F273" s="181"/>
      <c r="G273" s="180"/>
      <c r="H273" s="184"/>
      <c r="L273" s="117">
        <v>1</v>
      </c>
      <c r="O273" s="185" t="e">
        <f>D273/#REF!</f>
        <v>#REF!</v>
      </c>
      <c r="Q273" s="376">
        <v>54.11</v>
      </c>
    </row>
    <row r="274" spans="1:17" x14ac:dyDescent="0.2">
      <c r="A274" s="138" t="s">
        <v>819</v>
      </c>
      <c r="B274" s="137" t="s">
        <v>820</v>
      </c>
      <c r="C274" s="138" t="s">
        <v>479</v>
      </c>
      <c r="D274" s="358">
        <f t="shared" si="4"/>
        <v>49.3</v>
      </c>
      <c r="E274" s="232">
        <f>ROUND(0.1*E269+0.2*E270+0.1*E271+0.6*E272,3)</f>
        <v>5.2679999999999998</v>
      </c>
      <c r="F274" s="181"/>
      <c r="G274" s="180"/>
      <c r="H274" s="158"/>
      <c r="L274" s="117">
        <v>1</v>
      </c>
      <c r="O274" s="185" t="e">
        <f>D274/#REF!</f>
        <v>#REF!</v>
      </c>
      <c r="Q274" s="376">
        <v>49.3</v>
      </c>
    </row>
    <row r="275" spans="1:17" x14ac:dyDescent="0.2">
      <c r="A275" s="138" t="s">
        <v>821</v>
      </c>
      <c r="B275" s="137" t="s">
        <v>822</v>
      </c>
      <c r="C275" s="138" t="s">
        <v>479</v>
      </c>
      <c r="D275" s="358">
        <f t="shared" si="4"/>
        <v>57.29</v>
      </c>
      <c r="E275" s="232">
        <f>ROUND(0.6*E269+0.1*E270+0.1*E271+0.2*E272,3)</f>
        <v>5.4640000000000004</v>
      </c>
      <c r="F275" s="181"/>
      <c r="G275" s="180"/>
      <c r="H275" s="158"/>
      <c r="L275" s="117">
        <v>1</v>
      </c>
      <c r="O275" s="185" t="e">
        <f>D275/#REF!</f>
        <v>#REF!</v>
      </c>
      <c r="Q275" s="376">
        <v>57.29</v>
      </c>
    </row>
    <row r="276" spans="1:17" x14ac:dyDescent="0.2">
      <c r="A276" s="138" t="s">
        <v>823</v>
      </c>
      <c r="B276" s="137" t="s">
        <v>824</v>
      </c>
      <c r="C276" s="138" t="s">
        <v>479</v>
      </c>
      <c r="D276" s="358">
        <f t="shared" si="4"/>
        <v>63.11</v>
      </c>
      <c r="E276" s="233">
        <f>E269</f>
        <v>5.6120000000000001</v>
      </c>
      <c r="F276" s="181"/>
      <c r="G276" s="180"/>
      <c r="H276" s="158"/>
      <c r="O276" s="185" t="e">
        <f>D276/#REF!</f>
        <v>#REF!</v>
      </c>
      <c r="Q276" s="376">
        <v>63.11</v>
      </c>
    </row>
    <row r="277" spans="1:17" x14ac:dyDescent="0.2">
      <c r="A277" s="367" t="s">
        <v>825</v>
      </c>
      <c r="B277" s="137" t="s">
        <v>826</v>
      </c>
      <c r="C277" s="138" t="s">
        <v>184</v>
      </c>
      <c r="D277" s="358">
        <f t="shared" si="4"/>
        <v>18223.140100000001</v>
      </c>
      <c r="E277" s="234">
        <v>2468.23</v>
      </c>
      <c r="F277" s="183"/>
      <c r="G277" s="182"/>
      <c r="H277" s="158" t="s">
        <v>827</v>
      </c>
      <c r="L277" s="117">
        <v>1</v>
      </c>
      <c r="O277" s="185" t="e">
        <f>D277/#REF!</f>
        <v>#REF!</v>
      </c>
      <c r="Q277" s="376">
        <v>18223.140100000001</v>
      </c>
    </row>
    <row r="278" spans="1:17" x14ac:dyDescent="0.2">
      <c r="A278" s="367" t="s">
        <v>828</v>
      </c>
      <c r="B278" s="137" t="s">
        <v>829</v>
      </c>
      <c r="C278" s="138" t="s">
        <v>184</v>
      </c>
      <c r="D278" s="358">
        <f t="shared" si="4"/>
        <v>18817.189999999999</v>
      </c>
      <c r="E278" s="234">
        <v>2850.02</v>
      </c>
      <c r="F278" s="183"/>
      <c r="G278" s="182"/>
      <c r="H278" s="158"/>
      <c r="O278" s="185" t="e">
        <f>D278/#REF!</f>
        <v>#REF!</v>
      </c>
      <c r="Q278" s="376">
        <v>18817.189999999999</v>
      </c>
    </row>
    <row r="279" spans="1:17" x14ac:dyDescent="0.2">
      <c r="A279" s="367" t="s">
        <v>830</v>
      </c>
      <c r="B279" s="235" t="s">
        <v>831</v>
      </c>
      <c r="C279" s="138" t="s">
        <v>184</v>
      </c>
      <c r="D279" s="358">
        <f t="shared" si="4"/>
        <v>7785.52</v>
      </c>
      <c r="E279" s="236">
        <v>2139.79</v>
      </c>
      <c r="F279" s="183"/>
      <c r="G279" s="182"/>
      <c r="H279" s="158"/>
      <c r="L279" s="117">
        <v>1</v>
      </c>
      <c r="O279" s="185" t="e">
        <f>D279/#REF!</f>
        <v>#REF!</v>
      </c>
      <c r="Q279" s="376">
        <v>7785.52</v>
      </c>
    </row>
    <row r="280" spans="1:17" x14ac:dyDescent="0.2">
      <c r="A280" s="367" t="s">
        <v>832</v>
      </c>
      <c r="B280" s="137" t="s">
        <v>833</v>
      </c>
      <c r="C280" s="138" t="s">
        <v>184</v>
      </c>
      <c r="D280" s="358">
        <f t="shared" si="4"/>
        <v>1976.03</v>
      </c>
      <c r="E280" s="234">
        <f>807.75/1.21</f>
        <v>667.56198347107443</v>
      </c>
      <c r="F280" s="183"/>
      <c r="G280" s="182"/>
      <c r="H280" s="158"/>
      <c r="L280" s="117">
        <v>1</v>
      </c>
      <c r="O280" s="185" t="e">
        <f>D280/#REF!</f>
        <v>#REF!</v>
      </c>
      <c r="Q280" s="376">
        <v>1976.03</v>
      </c>
    </row>
    <row r="281" spans="1:17" x14ac:dyDescent="0.2">
      <c r="A281" s="367" t="s">
        <v>834</v>
      </c>
      <c r="B281" s="137" t="s">
        <v>835</v>
      </c>
      <c r="C281" s="138" t="s">
        <v>7</v>
      </c>
      <c r="D281" s="358">
        <f t="shared" si="4"/>
        <v>205.79</v>
      </c>
      <c r="E281" s="234">
        <v>26.86</v>
      </c>
      <c r="F281" s="183"/>
      <c r="G281" s="182"/>
      <c r="H281" s="158"/>
      <c r="L281" s="117">
        <v>1</v>
      </c>
      <c r="O281" s="185" t="e">
        <f>D281/#REF!</f>
        <v>#REF!</v>
      </c>
      <c r="Q281" s="376">
        <v>205.79</v>
      </c>
    </row>
    <row r="282" spans="1:17" x14ac:dyDescent="0.2">
      <c r="A282" s="367" t="s">
        <v>836</v>
      </c>
      <c r="B282" s="137" t="s">
        <v>837</v>
      </c>
      <c r="C282" s="138" t="s">
        <v>7</v>
      </c>
      <c r="D282" s="358">
        <f t="shared" si="4"/>
        <v>494.83</v>
      </c>
      <c r="E282" s="234">
        <v>42.23</v>
      </c>
      <c r="F282" s="183"/>
      <c r="G282" s="182"/>
      <c r="H282" s="158"/>
      <c r="L282" s="117">
        <v>1</v>
      </c>
      <c r="O282" s="185" t="e">
        <f>D282/#REF!</f>
        <v>#REF!</v>
      </c>
      <c r="Q282" s="376">
        <v>494.83</v>
      </c>
    </row>
    <row r="283" spans="1:17" x14ac:dyDescent="0.2">
      <c r="A283" s="138" t="s">
        <v>838</v>
      </c>
      <c r="B283" s="137" t="s">
        <v>839</v>
      </c>
      <c r="C283" s="138" t="s">
        <v>301</v>
      </c>
      <c r="D283" s="358">
        <f t="shared" si="4"/>
        <v>20.612500000000001</v>
      </c>
      <c r="E283" s="187">
        <v>3.64</v>
      </c>
      <c r="F283" s="183"/>
      <c r="G283" s="182"/>
      <c r="H283" s="158" t="s">
        <v>840</v>
      </c>
      <c r="L283" s="117">
        <v>3</v>
      </c>
      <c r="O283" s="185" t="e">
        <f>D283/#REF!</f>
        <v>#REF!</v>
      </c>
      <c r="Q283" s="376">
        <v>20.612500000000001</v>
      </c>
    </row>
    <row r="284" spans="1:17" x14ac:dyDescent="0.2">
      <c r="A284" s="138" t="s">
        <v>841</v>
      </c>
      <c r="B284" s="137" t="s">
        <v>842</v>
      </c>
      <c r="C284" s="138" t="s">
        <v>184</v>
      </c>
      <c r="D284" s="358">
        <f t="shared" si="4"/>
        <v>204.4367</v>
      </c>
      <c r="E284" s="187">
        <v>35.25</v>
      </c>
      <c r="F284" s="183"/>
      <c r="G284" s="182"/>
      <c r="H284" s="158"/>
      <c r="O284" s="185" t="e">
        <f>D284/#REF!</f>
        <v>#REF!</v>
      </c>
      <c r="Q284" s="376">
        <v>204.4367</v>
      </c>
    </row>
    <row r="285" spans="1:17" x14ac:dyDescent="0.2">
      <c r="A285" s="138" t="s">
        <v>843</v>
      </c>
      <c r="B285" s="137" t="s">
        <v>844</v>
      </c>
      <c r="C285" s="138" t="s">
        <v>184</v>
      </c>
      <c r="D285" s="358">
        <f t="shared" si="4"/>
        <v>248.83330000000001</v>
      </c>
      <c r="E285" s="187">
        <v>39.92</v>
      </c>
      <c r="F285" s="183"/>
      <c r="G285" s="182"/>
      <c r="H285" s="158"/>
      <c r="O285" s="185" t="e">
        <f>D285/#REF!</f>
        <v>#REF!</v>
      </c>
      <c r="Q285" s="376">
        <v>248.83330000000001</v>
      </c>
    </row>
    <row r="286" spans="1:17" x14ac:dyDescent="0.2">
      <c r="A286" s="138" t="s">
        <v>845</v>
      </c>
      <c r="B286" s="137" t="s">
        <v>846</v>
      </c>
      <c r="C286" s="138" t="s">
        <v>184</v>
      </c>
      <c r="D286" s="358">
        <f t="shared" si="4"/>
        <v>17.347200000000001</v>
      </c>
      <c r="E286" s="187">
        <v>2.31</v>
      </c>
      <c r="F286" s="183"/>
      <c r="G286" s="182"/>
      <c r="H286" s="158"/>
      <c r="L286" s="117">
        <v>3</v>
      </c>
      <c r="O286" s="185" t="e">
        <f>D286/#REF!</f>
        <v>#REF!</v>
      </c>
      <c r="Q286" s="376">
        <v>17.347200000000001</v>
      </c>
    </row>
    <row r="287" spans="1:17" x14ac:dyDescent="0.2">
      <c r="A287" s="138" t="s">
        <v>847</v>
      </c>
      <c r="B287" s="137" t="s">
        <v>848</v>
      </c>
      <c r="C287" s="138" t="s">
        <v>184</v>
      </c>
      <c r="D287" s="358">
        <f t="shared" si="4"/>
        <v>652.08000000000004</v>
      </c>
      <c r="E287" s="187">
        <v>135.59</v>
      </c>
      <c r="F287" s="183"/>
      <c r="G287" s="182"/>
      <c r="H287" s="158"/>
      <c r="L287" s="117">
        <v>3</v>
      </c>
      <c r="O287" s="185" t="e">
        <f>D287/#REF!</f>
        <v>#REF!</v>
      </c>
      <c r="Q287" s="376">
        <v>652.08000000000004</v>
      </c>
    </row>
    <row r="288" spans="1:17" x14ac:dyDescent="0.2">
      <c r="A288" s="138" t="s">
        <v>849</v>
      </c>
      <c r="B288" s="137" t="s">
        <v>850</v>
      </c>
      <c r="C288" s="138" t="s">
        <v>301</v>
      </c>
      <c r="D288" s="358">
        <f t="shared" si="4"/>
        <v>12.154999999999999</v>
      </c>
      <c r="E288" s="187">
        <v>3.6825000000000001</v>
      </c>
      <c r="F288" s="217"/>
      <c r="G288" s="182"/>
      <c r="H288" s="158"/>
      <c r="J288" s="237" t="s">
        <v>851</v>
      </c>
      <c r="L288" s="117">
        <v>2</v>
      </c>
      <c r="O288" s="185" t="e">
        <f>D288/#REF!</f>
        <v>#REF!</v>
      </c>
      <c r="Q288" s="376">
        <v>12.154999999999999</v>
      </c>
    </row>
    <row r="289" spans="1:17" x14ac:dyDescent="0.2">
      <c r="A289" s="138" t="s">
        <v>852</v>
      </c>
      <c r="B289" s="137" t="s">
        <v>853</v>
      </c>
      <c r="C289" s="138" t="s">
        <v>301</v>
      </c>
      <c r="D289" s="358">
        <f t="shared" si="4"/>
        <v>25.0518</v>
      </c>
      <c r="E289" s="187">
        <v>3.73</v>
      </c>
      <c r="F289" s="183"/>
      <c r="G289" s="182"/>
      <c r="H289" s="158"/>
      <c r="I289" s="206" t="s">
        <v>854</v>
      </c>
      <c r="J289" s="238" t="s">
        <v>855</v>
      </c>
      <c r="L289" s="117">
        <v>3</v>
      </c>
      <c r="O289" s="185" t="e">
        <f>D289/#REF!</f>
        <v>#REF!</v>
      </c>
      <c r="Q289" s="376">
        <v>25.0518</v>
      </c>
    </row>
    <row r="290" spans="1:17" x14ac:dyDescent="0.2">
      <c r="A290" s="138" t="s">
        <v>856</v>
      </c>
      <c r="B290" s="137" t="s">
        <v>857</v>
      </c>
      <c r="C290" s="138" t="s">
        <v>16</v>
      </c>
      <c r="D290" s="358">
        <f t="shared" si="4"/>
        <v>6.7304000000000004</v>
      </c>
      <c r="E290" s="187">
        <v>1.49</v>
      </c>
      <c r="F290" s="217"/>
      <c r="G290" s="182"/>
      <c r="H290" s="239" t="s">
        <v>858</v>
      </c>
      <c r="I290" s="240">
        <v>25.893999999999998</v>
      </c>
      <c r="J290" s="241">
        <f>I290/30</f>
        <v>0.86313333333333331</v>
      </c>
      <c r="K290" s="142">
        <f>J290+J291</f>
        <v>1.7964666666666667</v>
      </c>
      <c r="L290" s="117">
        <v>1</v>
      </c>
      <c r="O290" s="185" t="e">
        <f>D290/#REF!</f>
        <v>#REF!</v>
      </c>
      <c r="Q290" s="376">
        <v>6.7304000000000004</v>
      </c>
    </row>
    <row r="291" spans="1:17" x14ac:dyDescent="0.2">
      <c r="A291" s="138" t="s">
        <v>859</v>
      </c>
      <c r="B291" s="137" t="s">
        <v>860</v>
      </c>
      <c r="C291" s="138" t="s">
        <v>301</v>
      </c>
      <c r="D291" s="358">
        <f t="shared" si="4"/>
        <v>49.6721</v>
      </c>
      <c r="E291" s="187">
        <v>7.18</v>
      </c>
      <c r="F291" s="183"/>
      <c r="G291" s="182"/>
      <c r="H291" s="158" t="s">
        <v>861</v>
      </c>
      <c r="I291" s="242">
        <v>14</v>
      </c>
      <c r="J291" s="241">
        <f>I291/15</f>
        <v>0.93333333333333335</v>
      </c>
      <c r="K291" s="243">
        <f>K290/1.21</f>
        <v>1.4846831955922866</v>
      </c>
      <c r="L291" s="117">
        <v>3</v>
      </c>
      <c r="O291" s="185" t="e">
        <f>D291/#REF!</f>
        <v>#REF!</v>
      </c>
      <c r="Q291" s="376">
        <v>49.6721</v>
      </c>
    </row>
    <row r="292" spans="1:17" x14ac:dyDescent="0.2">
      <c r="A292" s="138" t="s">
        <v>862</v>
      </c>
      <c r="B292" s="137" t="s">
        <v>863</v>
      </c>
      <c r="C292" s="138" t="s">
        <v>301</v>
      </c>
      <c r="D292" s="358">
        <f t="shared" si="4"/>
        <v>30.035799999999998</v>
      </c>
      <c r="E292" s="187">
        <v>4.32</v>
      </c>
      <c r="F292" s="183"/>
      <c r="G292" s="182"/>
      <c r="H292" s="158"/>
      <c r="L292" s="117">
        <v>3</v>
      </c>
      <c r="O292" s="185" t="e">
        <f>D292/#REF!</f>
        <v>#REF!</v>
      </c>
      <c r="Q292" s="376">
        <v>30.035799999999998</v>
      </c>
    </row>
    <row r="293" spans="1:17" x14ac:dyDescent="0.2">
      <c r="A293" s="138" t="s">
        <v>864</v>
      </c>
      <c r="B293" s="137" t="s">
        <v>865</v>
      </c>
      <c r="C293" s="138" t="s">
        <v>301</v>
      </c>
      <c r="D293" s="358">
        <f t="shared" si="4"/>
        <v>53.543300000000002</v>
      </c>
      <c r="E293" s="187">
        <v>9.1199999999999992</v>
      </c>
      <c r="F293" s="183"/>
      <c r="G293" s="182"/>
      <c r="H293" s="158"/>
      <c r="L293" s="117">
        <v>3</v>
      </c>
      <c r="O293" s="185" t="e">
        <f>D293/#REF!</f>
        <v>#REF!</v>
      </c>
      <c r="Q293" s="376">
        <v>53.543300000000002</v>
      </c>
    </row>
    <row r="294" spans="1:17" x14ac:dyDescent="0.2">
      <c r="A294" s="138" t="s">
        <v>866</v>
      </c>
      <c r="B294" s="137" t="s">
        <v>867</v>
      </c>
      <c r="C294" s="138" t="s">
        <v>301</v>
      </c>
      <c r="D294" s="358">
        <f t="shared" si="4"/>
        <v>23.7607</v>
      </c>
      <c r="E294" s="187">
        <v>3.33</v>
      </c>
      <c r="F294" s="183"/>
      <c r="G294" s="182"/>
      <c r="H294" s="158"/>
      <c r="L294" s="117">
        <v>3</v>
      </c>
      <c r="O294" s="185" t="e">
        <f>D294/#REF!</f>
        <v>#REF!</v>
      </c>
      <c r="Q294" s="376">
        <v>23.7607</v>
      </c>
    </row>
    <row r="295" spans="1:17" x14ac:dyDescent="0.2">
      <c r="A295" s="138" t="s">
        <v>868</v>
      </c>
      <c r="B295" s="235" t="s">
        <v>869</v>
      </c>
      <c r="C295" s="244" t="s">
        <v>184</v>
      </c>
      <c r="D295" s="358">
        <f t="shared" si="4"/>
        <v>2.4952000000000001</v>
      </c>
      <c r="E295" s="187">
        <v>0.57999999999999996</v>
      </c>
      <c r="F295" s="183"/>
      <c r="G295" s="182"/>
      <c r="H295" s="158"/>
      <c r="O295" s="185" t="e">
        <f>D295/#REF!</f>
        <v>#REF!</v>
      </c>
      <c r="Q295" s="376">
        <v>2.4952000000000001</v>
      </c>
    </row>
    <row r="296" spans="1:17" x14ac:dyDescent="0.2">
      <c r="A296" s="138" t="s">
        <v>870</v>
      </c>
      <c r="B296" s="137" t="s">
        <v>871</v>
      </c>
      <c r="C296" s="138" t="s">
        <v>184</v>
      </c>
      <c r="D296" s="358">
        <f t="shared" si="4"/>
        <v>74.051900000000003</v>
      </c>
      <c r="E296" s="187">
        <v>13.38</v>
      </c>
      <c r="F296" s="183"/>
      <c r="G296" s="182"/>
      <c r="H296" s="158" t="s">
        <v>331</v>
      </c>
      <c r="L296" s="117">
        <v>1</v>
      </c>
      <c r="O296" s="185" t="e">
        <f>D296/#REF!</f>
        <v>#REF!</v>
      </c>
      <c r="Q296" s="376">
        <v>74.051900000000003</v>
      </c>
    </row>
    <row r="297" spans="1:17" x14ac:dyDescent="0.2">
      <c r="A297" s="138" t="s">
        <v>872</v>
      </c>
      <c r="B297" s="137" t="s">
        <v>873</v>
      </c>
      <c r="C297" s="138" t="s">
        <v>184</v>
      </c>
      <c r="D297" s="358">
        <f t="shared" si="4"/>
        <v>67.849999999999994</v>
      </c>
      <c r="E297" s="187">
        <v>13.88</v>
      </c>
      <c r="F297" s="183"/>
      <c r="G297" s="182"/>
      <c r="H297" s="158" t="s">
        <v>331</v>
      </c>
      <c r="L297" s="117">
        <v>1</v>
      </c>
      <c r="O297" s="185" t="e">
        <f>D297/#REF!</f>
        <v>#REF!</v>
      </c>
      <c r="Q297" s="376">
        <v>67.849999999999994</v>
      </c>
    </row>
    <row r="298" spans="1:17" x14ac:dyDescent="0.2">
      <c r="A298" s="138" t="s">
        <v>874</v>
      </c>
      <c r="B298" s="137" t="s">
        <v>875</v>
      </c>
      <c r="C298" s="138" t="s">
        <v>184</v>
      </c>
      <c r="D298" s="358">
        <f t="shared" si="4"/>
        <v>153.72</v>
      </c>
      <c r="E298" s="216">
        <v>21.74</v>
      </c>
      <c r="F298" s="183"/>
      <c r="G298" s="182"/>
      <c r="H298" s="158" t="s">
        <v>876</v>
      </c>
      <c r="L298" s="117">
        <v>2</v>
      </c>
      <c r="O298" s="185" t="e">
        <f>D298/#REF!</f>
        <v>#REF!</v>
      </c>
      <c r="Q298" s="376">
        <v>153.72</v>
      </c>
    </row>
    <row r="299" spans="1:17" x14ac:dyDescent="0.2">
      <c r="A299" s="138" t="s">
        <v>877</v>
      </c>
      <c r="B299" s="137" t="s">
        <v>878</v>
      </c>
      <c r="C299" s="138" t="s">
        <v>184</v>
      </c>
      <c r="D299" s="358">
        <f t="shared" si="4"/>
        <v>241.32</v>
      </c>
      <c r="E299" s="216">
        <v>34.36</v>
      </c>
      <c r="F299" s="183"/>
      <c r="G299" s="182"/>
      <c r="H299" s="158"/>
      <c r="L299" s="117">
        <v>2</v>
      </c>
      <c r="O299" s="185" t="e">
        <f>D299/#REF!</f>
        <v>#REF!</v>
      </c>
      <c r="Q299" s="376">
        <v>241.32</v>
      </c>
    </row>
    <row r="300" spans="1:17" x14ac:dyDescent="0.2">
      <c r="A300" s="138" t="s">
        <v>879</v>
      </c>
      <c r="B300" s="137" t="s">
        <v>880</v>
      </c>
      <c r="C300" s="138" t="s">
        <v>7</v>
      </c>
      <c r="D300" s="358">
        <f t="shared" si="4"/>
        <v>5.4238</v>
      </c>
      <c r="E300" s="187">
        <v>0.83</v>
      </c>
      <c r="F300" s="183"/>
      <c r="G300" s="182"/>
      <c r="H300" s="158" t="s">
        <v>881</v>
      </c>
      <c r="L300" s="117">
        <v>2</v>
      </c>
      <c r="O300" s="185" t="e">
        <f>D300/#REF!</f>
        <v>#REF!</v>
      </c>
      <c r="Q300" s="376">
        <v>5.4238</v>
      </c>
    </row>
    <row r="301" spans="1:17" x14ac:dyDescent="0.2">
      <c r="A301" s="138" t="s">
        <v>882</v>
      </c>
      <c r="B301" s="137" t="s">
        <v>883</v>
      </c>
      <c r="C301" s="138" t="s">
        <v>7</v>
      </c>
      <c r="D301" s="358">
        <f t="shared" si="4"/>
        <v>18.683</v>
      </c>
      <c r="E301" s="187">
        <v>3.84</v>
      </c>
      <c r="F301" s="183"/>
      <c r="G301" s="182"/>
      <c r="H301" s="158" t="s">
        <v>881</v>
      </c>
      <c r="L301" s="117">
        <v>1</v>
      </c>
      <c r="O301" s="185" t="e">
        <f>D301/#REF!</f>
        <v>#REF!</v>
      </c>
      <c r="Q301" s="376">
        <v>18.683</v>
      </c>
    </row>
    <row r="302" spans="1:17" x14ac:dyDescent="0.2">
      <c r="A302" s="138" t="s">
        <v>884</v>
      </c>
      <c r="B302" s="137" t="s">
        <v>885</v>
      </c>
      <c r="C302" s="138" t="s">
        <v>7</v>
      </c>
      <c r="D302" s="358">
        <f t="shared" si="4"/>
        <v>31.332000000000001</v>
      </c>
      <c r="E302" s="187">
        <v>5.46</v>
      </c>
      <c r="F302" s="183"/>
      <c r="G302" s="182"/>
      <c r="H302" s="158" t="s">
        <v>881</v>
      </c>
      <c r="L302" s="117">
        <v>1</v>
      </c>
      <c r="O302" s="185" t="e">
        <f>D302/#REF!</f>
        <v>#REF!</v>
      </c>
      <c r="Q302" s="376">
        <v>31.332000000000001</v>
      </c>
    </row>
    <row r="303" spans="1:17" x14ac:dyDescent="0.2">
      <c r="A303" s="138" t="s">
        <v>886</v>
      </c>
      <c r="B303" s="137" t="s">
        <v>887</v>
      </c>
      <c r="C303" s="138" t="s">
        <v>184</v>
      </c>
      <c r="D303" s="358">
        <f t="shared" si="4"/>
        <v>41.100900000000003</v>
      </c>
      <c r="E303" s="187">
        <v>25.71</v>
      </c>
      <c r="F303" s="183"/>
      <c r="G303" s="182"/>
      <c r="H303" s="158" t="s">
        <v>881</v>
      </c>
      <c r="L303" s="117">
        <v>1</v>
      </c>
      <c r="O303" s="185" t="e">
        <f>D303/#REF!</f>
        <v>#REF!</v>
      </c>
      <c r="Q303" s="376">
        <v>41.100900000000003</v>
      </c>
    </row>
    <row r="304" spans="1:17" x14ac:dyDescent="0.2">
      <c r="A304" s="138" t="s">
        <v>888</v>
      </c>
      <c r="B304" s="137" t="s">
        <v>889</v>
      </c>
      <c r="C304" s="138" t="s">
        <v>184</v>
      </c>
      <c r="D304" s="358">
        <f t="shared" si="4"/>
        <v>62.856400000000001</v>
      </c>
      <c r="E304" s="187">
        <v>39.01</v>
      </c>
      <c r="F304" s="183"/>
      <c r="G304" s="182"/>
      <c r="H304" s="158" t="s">
        <v>881</v>
      </c>
      <c r="L304" s="117">
        <v>1</v>
      </c>
      <c r="O304" s="185" t="e">
        <f>D304/#REF!</f>
        <v>#REF!</v>
      </c>
      <c r="Q304" s="376">
        <v>62.856400000000001</v>
      </c>
    </row>
    <row r="305" spans="1:17" x14ac:dyDescent="0.2">
      <c r="A305" s="138" t="s">
        <v>890</v>
      </c>
      <c r="B305" s="137" t="s">
        <v>891</v>
      </c>
      <c r="C305" s="138" t="s">
        <v>184</v>
      </c>
      <c r="D305" s="358">
        <f t="shared" si="4"/>
        <v>127.9747</v>
      </c>
      <c r="E305" s="187">
        <v>66.88</v>
      </c>
      <c r="F305" s="183"/>
      <c r="G305" s="182"/>
      <c r="H305" s="158" t="s">
        <v>881</v>
      </c>
      <c r="O305" s="185" t="e">
        <f>D305/#REF!</f>
        <v>#REF!</v>
      </c>
      <c r="Q305" s="376">
        <v>127.9747</v>
      </c>
    </row>
    <row r="306" spans="1:17" x14ac:dyDescent="0.2">
      <c r="A306" s="138" t="s">
        <v>892</v>
      </c>
      <c r="B306" s="137" t="s">
        <v>893</v>
      </c>
      <c r="C306" s="138" t="s">
        <v>184</v>
      </c>
      <c r="D306" s="358">
        <f t="shared" si="4"/>
        <v>1328.93</v>
      </c>
      <c r="E306" s="187">
        <v>514.47</v>
      </c>
      <c r="F306" s="183"/>
      <c r="G306" s="182"/>
      <c r="H306" s="158" t="s">
        <v>881</v>
      </c>
      <c r="L306" s="117">
        <v>1</v>
      </c>
      <c r="O306" s="185" t="e">
        <f>D306/#REF!</f>
        <v>#REF!</v>
      </c>
      <c r="Q306" s="376">
        <v>1328.93</v>
      </c>
    </row>
    <row r="307" spans="1:17" x14ac:dyDescent="0.2">
      <c r="A307" s="138" t="s">
        <v>894</v>
      </c>
      <c r="B307" s="137" t="s">
        <v>895</v>
      </c>
      <c r="C307" s="138" t="s">
        <v>184</v>
      </c>
      <c r="D307" s="358">
        <f t="shared" si="4"/>
        <v>115.29300000000001</v>
      </c>
      <c r="E307" s="187">
        <v>17.577200000000001</v>
      </c>
      <c r="F307" s="183"/>
      <c r="G307" s="182"/>
      <c r="H307" s="158" t="s">
        <v>881</v>
      </c>
      <c r="L307" s="117">
        <v>2</v>
      </c>
      <c r="O307" s="185" t="e">
        <f>D307/#REF!</f>
        <v>#REF!</v>
      </c>
      <c r="Q307" s="376">
        <v>115.29300000000001</v>
      </c>
    </row>
    <row r="308" spans="1:17" x14ac:dyDescent="0.2">
      <c r="A308" s="138" t="s">
        <v>896</v>
      </c>
      <c r="B308" s="137" t="s">
        <v>897</v>
      </c>
      <c r="C308" s="138" t="s">
        <v>184</v>
      </c>
      <c r="D308" s="358">
        <f t="shared" si="4"/>
        <v>842.05</v>
      </c>
      <c r="E308" s="187">
        <v>361.75</v>
      </c>
      <c r="F308" s="183"/>
      <c r="G308" s="182"/>
      <c r="H308" s="158" t="s">
        <v>881</v>
      </c>
      <c r="L308" s="117">
        <v>1</v>
      </c>
      <c r="O308" s="185" t="e">
        <f>D308/#REF!</f>
        <v>#REF!</v>
      </c>
      <c r="Q308" s="376">
        <v>842.05</v>
      </c>
    </row>
    <row r="309" spans="1:17" x14ac:dyDescent="0.2">
      <c r="A309" s="138" t="s">
        <v>898</v>
      </c>
      <c r="B309" s="137" t="s">
        <v>899</v>
      </c>
      <c r="C309" s="138" t="s">
        <v>7</v>
      </c>
      <c r="D309" s="358">
        <f t="shared" si="4"/>
        <v>96.465599999999995</v>
      </c>
      <c r="E309" s="187">
        <v>14.49</v>
      </c>
      <c r="F309" s="183"/>
      <c r="G309" s="182"/>
      <c r="H309" s="158" t="s">
        <v>881</v>
      </c>
      <c r="L309" s="117">
        <v>1</v>
      </c>
      <c r="O309" s="185" t="e">
        <f>D309/#REF!</f>
        <v>#REF!</v>
      </c>
      <c r="Q309" s="376">
        <v>96.465599999999995</v>
      </c>
    </row>
    <row r="310" spans="1:17" x14ac:dyDescent="0.2">
      <c r="A310" s="138" t="s">
        <v>900</v>
      </c>
      <c r="B310" s="137" t="s">
        <v>901</v>
      </c>
      <c r="C310" s="138" t="s">
        <v>184</v>
      </c>
      <c r="D310" s="358">
        <f t="shared" si="4"/>
        <v>3697.4998999999998</v>
      </c>
      <c r="E310" s="187">
        <v>179</v>
      </c>
      <c r="F310" s="183"/>
      <c r="G310" s="182"/>
      <c r="H310" s="158" t="s">
        <v>902</v>
      </c>
      <c r="L310" s="117">
        <v>1</v>
      </c>
      <c r="O310" s="185" t="e">
        <f>D310/#REF!</f>
        <v>#REF!</v>
      </c>
      <c r="Q310" s="376">
        <v>3697.4998999999998</v>
      </c>
    </row>
    <row r="311" spans="1:17" x14ac:dyDescent="0.2">
      <c r="A311" s="138" t="s">
        <v>903</v>
      </c>
      <c r="B311" s="137" t="s">
        <v>904</v>
      </c>
      <c r="C311" s="138" t="s">
        <v>184</v>
      </c>
      <c r="D311" s="358">
        <f t="shared" si="4"/>
        <v>3615.221</v>
      </c>
      <c r="E311" s="187">
        <v>158</v>
      </c>
      <c r="F311" s="183"/>
      <c r="G311" s="182"/>
      <c r="H311" s="158"/>
      <c r="L311" s="117">
        <v>1</v>
      </c>
      <c r="O311" s="185" t="e">
        <f>D311/#REF!</f>
        <v>#REF!</v>
      </c>
      <c r="Q311" s="376">
        <v>3615.221</v>
      </c>
    </row>
    <row r="312" spans="1:17" x14ac:dyDescent="0.2">
      <c r="A312" s="138" t="s">
        <v>905</v>
      </c>
      <c r="B312" s="137" t="s">
        <v>906</v>
      </c>
      <c r="C312" s="138" t="s">
        <v>184</v>
      </c>
      <c r="D312" s="358">
        <f t="shared" si="4"/>
        <v>14485.8791</v>
      </c>
      <c r="E312" s="187">
        <v>1120</v>
      </c>
      <c r="F312" s="183"/>
      <c r="G312" s="182"/>
      <c r="H312" s="158"/>
      <c r="L312" s="117">
        <v>1</v>
      </c>
      <c r="O312" s="185" t="e">
        <f>D312/#REF!</f>
        <v>#REF!</v>
      </c>
      <c r="Q312" s="376">
        <v>14485.8791</v>
      </c>
    </row>
    <row r="313" spans="1:17" x14ac:dyDescent="0.2">
      <c r="A313" s="138" t="s">
        <v>907</v>
      </c>
      <c r="B313" s="137" t="s">
        <v>908</v>
      </c>
      <c r="C313" s="138" t="s">
        <v>184</v>
      </c>
      <c r="D313" s="358">
        <f t="shared" si="4"/>
        <v>12593.6214</v>
      </c>
      <c r="E313" s="187">
        <v>858</v>
      </c>
      <c r="F313" s="183"/>
      <c r="G313" s="182"/>
      <c r="H313" s="158"/>
      <c r="L313" s="117">
        <v>1</v>
      </c>
      <c r="O313" s="185" t="e">
        <f>D313/#REF!</f>
        <v>#REF!</v>
      </c>
      <c r="Q313" s="376">
        <v>12593.6214</v>
      </c>
    </row>
    <row r="314" spans="1:17" x14ac:dyDescent="0.2">
      <c r="A314" s="138" t="s">
        <v>909</v>
      </c>
      <c r="B314" s="137" t="s">
        <v>910</v>
      </c>
      <c r="C314" s="138" t="s">
        <v>184</v>
      </c>
      <c r="D314" s="358">
        <f t="shared" si="4"/>
        <v>305</v>
      </c>
      <c r="E314" s="187">
        <v>198</v>
      </c>
      <c r="F314" s="183"/>
      <c r="G314" s="182"/>
      <c r="H314" s="158"/>
      <c r="L314" s="117">
        <v>1</v>
      </c>
      <c r="O314" s="185" t="e">
        <f>D314/#REF!</f>
        <v>#REF!</v>
      </c>
      <c r="Q314" s="376">
        <v>305</v>
      </c>
    </row>
    <row r="315" spans="1:17" x14ac:dyDescent="0.2">
      <c r="A315" s="138" t="s">
        <v>911</v>
      </c>
      <c r="B315" s="137" t="s">
        <v>912</v>
      </c>
      <c r="C315" s="138" t="s">
        <v>184</v>
      </c>
      <c r="D315" s="358">
        <f t="shared" si="4"/>
        <v>511.03550000000001</v>
      </c>
      <c r="E315" s="187">
        <v>252</v>
      </c>
      <c r="F315" s="183"/>
      <c r="G315" s="212"/>
      <c r="H315" s="158" t="s">
        <v>913</v>
      </c>
      <c r="K315" s="142"/>
      <c r="L315" s="117">
        <v>2</v>
      </c>
      <c r="O315" s="185" t="e">
        <f>D315/#REF!</f>
        <v>#REF!</v>
      </c>
      <c r="Q315" s="376">
        <v>511.03550000000001</v>
      </c>
    </row>
    <row r="316" spans="1:17" x14ac:dyDescent="0.2">
      <c r="A316" s="138" t="s">
        <v>914</v>
      </c>
      <c r="B316" s="137" t="s">
        <v>915</v>
      </c>
      <c r="C316" s="138" t="s">
        <v>7</v>
      </c>
      <c r="D316" s="358">
        <f t="shared" si="4"/>
        <v>76.613200000000006</v>
      </c>
      <c r="E316" s="187">
        <v>8.8759999999999994</v>
      </c>
      <c r="F316" s="183"/>
      <c r="G316" s="212"/>
      <c r="H316" s="158"/>
      <c r="K316" s="142"/>
      <c r="L316" s="117">
        <v>2</v>
      </c>
      <c r="O316" s="185" t="e">
        <f>D316/#REF!</f>
        <v>#REF!</v>
      </c>
      <c r="Q316" s="376">
        <v>76.613200000000006</v>
      </c>
    </row>
    <row r="317" spans="1:17" x14ac:dyDescent="0.2">
      <c r="A317" s="138" t="s">
        <v>916</v>
      </c>
      <c r="B317" s="137" t="s">
        <v>917</v>
      </c>
      <c r="C317" s="138" t="s">
        <v>7</v>
      </c>
      <c r="D317" s="358">
        <f t="shared" si="4"/>
        <v>23.475999999999999</v>
      </c>
      <c r="E317" s="187">
        <v>2.843</v>
      </c>
      <c r="F317" s="183"/>
      <c r="G317" s="212"/>
      <c r="H317" s="158"/>
      <c r="K317" s="142"/>
      <c r="L317" s="117">
        <v>2</v>
      </c>
      <c r="O317" s="185" t="e">
        <f>D317/#REF!</f>
        <v>#REF!</v>
      </c>
      <c r="Q317" s="376">
        <v>23.475999999999999</v>
      </c>
    </row>
    <row r="318" spans="1:17" x14ac:dyDescent="0.2">
      <c r="A318" s="138" t="s">
        <v>918</v>
      </c>
      <c r="B318" s="137" t="s">
        <v>919</v>
      </c>
      <c r="C318" s="138" t="s">
        <v>7</v>
      </c>
      <c r="D318" s="358">
        <f t="shared" si="4"/>
        <v>14.436500000000001</v>
      </c>
      <c r="E318" s="187">
        <v>2.2313999999999998</v>
      </c>
      <c r="F318" s="183"/>
      <c r="G318" s="212"/>
      <c r="H318" s="158"/>
      <c r="K318" s="142"/>
      <c r="L318" s="117">
        <v>2</v>
      </c>
      <c r="O318" s="185" t="e">
        <f>D318/#REF!</f>
        <v>#REF!</v>
      </c>
      <c r="Q318" s="376">
        <v>14.436500000000001</v>
      </c>
    </row>
    <row r="319" spans="1:17" x14ac:dyDescent="0.2">
      <c r="A319" s="138" t="s">
        <v>920</v>
      </c>
      <c r="B319" s="137" t="s">
        <v>921</v>
      </c>
      <c r="C319" s="138" t="s">
        <v>7</v>
      </c>
      <c r="D319" s="358">
        <f t="shared" si="4"/>
        <v>78.254499999999993</v>
      </c>
      <c r="E319" s="187">
        <v>16.446300000000001</v>
      </c>
      <c r="F319" s="183"/>
      <c r="G319" s="212"/>
      <c r="H319" s="158"/>
      <c r="K319" s="142"/>
      <c r="L319" s="117">
        <v>2</v>
      </c>
      <c r="O319" s="185" t="e">
        <f>D319/#REF!</f>
        <v>#REF!</v>
      </c>
      <c r="Q319" s="376">
        <v>78.254499999999993</v>
      </c>
    </row>
    <row r="320" spans="1:17" x14ac:dyDescent="0.2">
      <c r="A320" s="138" t="s">
        <v>922</v>
      </c>
      <c r="B320" s="137" t="s">
        <v>923</v>
      </c>
      <c r="C320" s="138" t="s">
        <v>7</v>
      </c>
      <c r="D320" s="358">
        <f t="shared" si="4"/>
        <v>56.58</v>
      </c>
      <c r="E320" s="187">
        <v>7.7521000000000004</v>
      </c>
      <c r="F320" s="183"/>
      <c r="G320" s="212"/>
      <c r="H320" s="158"/>
      <c r="K320" s="142"/>
      <c r="L320" s="117">
        <v>2</v>
      </c>
      <c r="O320" s="185" t="e">
        <f>D320/#REF!</f>
        <v>#REF!</v>
      </c>
      <c r="Q320" s="376">
        <v>56.58</v>
      </c>
    </row>
    <row r="321" spans="1:17" x14ac:dyDescent="0.2">
      <c r="A321" s="138" t="s">
        <v>924</v>
      </c>
      <c r="B321" s="137" t="s">
        <v>925</v>
      </c>
      <c r="C321" s="138" t="s">
        <v>184</v>
      </c>
      <c r="D321" s="358">
        <f t="shared" si="4"/>
        <v>63.085000000000001</v>
      </c>
      <c r="E321" s="187">
        <v>8.9338999999999995</v>
      </c>
      <c r="F321" s="183"/>
      <c r="G321" s="212"/>
      <c r="H321" s="158"/>
      <c r="K321" s="142"/>
      <c r="L321" s="117">
        <v>2</v>
      </c>
      <c r="O321" s="185" t="e">
        <f>D321/#REF!</f>
        <v>#REF!</v>
      </c>
      <c r="Q321" s="376">
        <v>63.085000000000001</v>
      </c>
    </row>
    <row r="322" spans="1:17" x14ac:dyDescent="0.2">
      <c r="A322" s="138" t="s">
        <v>926</v>
      </c>
      <c r="B322" s="137" t="s">
        <v>927</v>
      </c>
      <c r="C322" s="138" t="s">
        <v>184</v>
      </c>
      <c r="D322" s="358">
        <f t="shared" si="4"/>
        <v>83466.007299999997</v>
      </c>
      <c r="E322" s="187">
        <v>10000</v>
      </c>
      <c r="F322" s="183"/>
      <c r="G322" s="182"/>
      <c r="H322" s="184" t="s">
        <v>928</v>
      </c>
      <c r="L322" s="117">
        <v>1</v>
      </c>
      <c r="O322" s="185" t="e">
        <f>D322/#REF!</f>
        <v>#REF!</v>
      </c>
      <c r="Q322" s="376">
        <v>83466.007299999997</v>
      </c>
    </row>
    <row r="323" spans="1:17" x14ac:dyDescent="0.2">
      <c r="A323" s="138" t="s">
        <v>929</v>
      </c>
      <c r="B323" s="137" t="s">
        <v>930</v>
      </c>
      <c r="C323" s="138" t="s">
        <v>184</v>
      </c>
      <c r="D323" s="358">
        <f t="shared" si="4"/>
        <v>2262.0128</v>
      </c>
      <c r="E323" s="187">
        <v>277.39999999999998</v>
      </c>
      <c r="F323" s="217"/>
      <c r="G323" s="182"/>
      <c r="H323" s="158" t="s">
        <v>931</v>
      </c>
      <c r="L323" s="117">
        <v>1</v>
      </c>
      <c r="O323" s="185" t="e">
        <f>D323/#REF!</f>
        <v>#REF!</v>
      </c>
      <c r="Q323" s="376">
        <v>2262.0128</v>
      </c>
    </row>
    <row r="324" spans="1:17" x14ac:dyDescent="0.2">
      <c r="A324" s="138" t="s">
        <v>932</v>
      </c>
      <c r="B324" s="137" t="s">
        <v>933</v>
      </c>
      <c r="C324" s="138" t="s">
        <v>184</v>
      </c>
      <c r="D324" s="358">
        <f t="shared" si="4"/>
        <v>152.28909999999999</v>
      </c>
      <c r="E324" s="187">
        <v>49.7273</v>
      </c>
      <c r="F324" s="183"/>
      <c r="G324" s="212"/>
      <c r="H324" s="158" t="s">
        <v>934</v>
      </c>
      <c r="L324" s="117">
        <v>2</v>
      </c>
      <c r="O324" s="185" t="e">
        <f>D324/#REF!</f>
        <v>#REF!</v>
      </c>
      <c r="Q324" s="376">
        <v>152.28909999999999</v>
      </c>
    </row>
    <row r="325" spans="1:17" x14ac:dyDescent="0.2">
      <c r="A325" s="138" t="s">
        <v>935</v>
      </c>
      <c r="B325" s="137" t="s">
        <v>936</v>
      </c>
      <c r="C325" s="138" t="s">
        <v>184</v>
      </c>
      <c r="D325" s="358">
        <f t="shared" si="4"/>
        <v>796.96439999999996</v>
      </c>
      <c r="E325" s="187">
        <v>156.1157</v>
      </c>
      <c r="F325" s="183"/>
      <c r="G325" s="212"/>
      <c r="H325" s="158"/>
      <c r="L325" s="117">
        <v>2</v>
      </c>
      <c r="O325" s="185" t="e">
        <f>D325/#REF!</f>
        <v>#REF!</v>
      </c>
      <c r="Q325" s="376">
        <v>796.96439999999996</v>
      </c>
    </row>
    <row r="326" spans="1:17" x14ac:dyDescent="0.2">
      <c r="A326" s="138" t="s">
        <v>937</v>
      </c>
      <c r="B326" s="137" t="s">
        <v>938</v>
      </c>
      <c r="C326" s="138" t="s">
        <v>184</v>
      </c>
      <c r="D326" s="358">
        <f t="shared" si="4"/>
        <v>142.27549999999999</v>
      </c>
      <c r="E326" s="187">
        <v>12.5207</v>
      </c>
      <c r="F326" s="183"/>
      <c r="G326" s="212"/>
      <c r="H326" s="158"/>
      <c r="L326" s="117">
        <v>2</v>
      </c>
      <c r="O326" s="185" t="e">
        <f>D326/#REF!</f>
        <v>#REF!</v>
      </c>
      <c r="Q326" s="376">
        <v>142.27549999999999</v>
      </c>
    </row>
    <row r="327" spans="1:17" ht="15" customHeight="1" x14ac:dyDescent="0.2">
      <c r="A327" s="138" t="s">
        <v>939</v>
      </c>
      <c r="B327" s="137" t="s">
        <v>940</v>
      </c>
      <c r="C327" s="138" t="s">
        <v>184</v>
      </c>
      <c r="D327" s="358">
        <f t="shared" si="4"/>
        <v>142.27549999999999</v>
      </c>
      <c r="E327" s="187">
        <v>49.297499999999999</v>
      </c>
      <c r="F327" s="183"/>
      <c r="G327" s="212"/>
      <c r="H327" s="158"/>
      <c r="L327" s="117">
        <v>2</v>
      </c>
      <c r="O327" s="185" t="e">
        <f>D327/#REF!</f>
        <v>#REF!</v>
      </c>
      <c r="Q327" s="376">
        <v>142.27549999999999</v>
      </c>
    </row>
    <row r="328" spans="1:17" ht="15" customHeight="1" x14ac:dyDescent="0.2">
      <c r="A328" s="138" t="s">
        <v>941</v>
      </c>
      <c r="B328" s="137" t="s">
        <v>942</v>
      </c>
      <c r="C328" s="138" t="s">
        <v>184</v>
      </c>
      <c r="D328" s="358">
        <f t="shared" ref="D328:D391" si="5">Q328</f>
        <v>1903.2036000000001</v>
      </c>
      <c r="E328" s="187">
        <v>114.7521</v>
      </c>
      <c r="F328" s="183"/>
      <c r="G328" s="212"/>
      <c r="H328" s="158"/>
      <c r="L328" s="117">
        <v>2</v>
      </c>
      <c r="O328" s="185" t="e">
        <f>D328/#REF!</f>
        <v>#REF!</v>
      </c>
      <c r="Q328" s="376">
        <v>1903.2036000000001</v>
      </c>
    </row>
    <row r="329" spans="1:17" ht="15" customHeight="1" x14ac:dyDescent="0.2">
      <c r="A329" s="138" t="s">
        <v>943</v>
      </c>
      <c r="B329" s="137" t="s">
        <v>944</v>
      </c>
      <c r="C329" s="138" t="s">
        <v>184</v>
      </c>
      <c r="D329" s="358">
        <f t="shared" si="5"/>
        <v>1656.8136</v>
      </c>
      <c r="E329" s="187">
        <v>156.25620000000001</v>
      </c>
      <c r="F329" s="183"/>
      <c r="G329" s="212"/>
      <c r="H329" s="158"/>
      <c r="L329" s="117">
        <v>2</v>
      </c>
      <c r="O329" s="185" t="e">
        <f>D329/#REF!</f>
        <v>#REF!</v>
      </c>
      <c r="Q329" s="376">
        <v>1656.8136</v>
      </c>
    </row>
    <row r="330" spans="1:17" ht="15" customHeight="1" x14ac:dyDescent="0.2">
      <c r="A330" s="138" t="s">
        <v>945</v>
      </c>
      <c r="B330" s="137" t="s">
        <v>946</v>
      </c>
      <c r="C330" s="138" t="s">
        <v>184</v>
      </c>
      <c r="D330" s="358">
        <f t="shared" si="5"/>
        <v>620.53830000000005</v>
      </c>
      <c r="E330" s="187">
        <v>21.3719</v>
      </c>
      <c r="F330" s="183"/>
      <c r="G330" s="212"/>
      <c r="H330" s="158"/>
      <c r="L330" s="117">
        <v>2</v>
      </c>
      <c r="O330" s="185" t="e">
        <f>D330/#REF!</f>
        <v>#REF!</v>
      </c>
      <c r="Q330" s="376">
        <v>620.53830000000005</v>
      </c>
    </row>
    <row r="331" spans="1:17" ht="15" customHeight="1" x14ac:dyDescent="0.2">
      <c r="A331" s="138" t="s">
        <v>947</v>
      </c>
      <c r="B331" s="137" t="s">
        <v>948</v>
      </c>
      <c r="C331" s="138" t="s">
        <v>184</v>
      </c>
      <c r="D331" s="358">
        <f t="shared" si="5"/>
        <v>1013.3833</v>
      </c>
      <c r="E331" s="187">
        <v>9.4876000000000005</v>
      </c>
      <c r="F331" s="183"/>
      <c r="G331" s="212"/>
      <c r="H331" s="158"/>
      <c r="L331" s="117">
        <v>2</v>
      </c>
      <c r="O331" s="185" t="e">
        <f>D331/#REF!</f>
        <v>#REF!</v>
      </c>
      <c r="Q331" s="376">
        <v>1013.3833</v>
      </c>
    </row>
    <row r="332" spans="1:17" ht="15" customHeight="1" x14ac:dyDescent="0.2">
      <c r="A332" s="138" t="s">
        <v>949</v>
      </c>
      <c r="B332" s="137" t="s">
        <v>950</v>
      </c>
      <c r="C332" s="138" t="s">
        <v>11</v>
      </c>
      <c r="D332" s="358">
        <f t="shared" si="5"/>
        <v>12.4732</v>
      </c>
      <c r="E332" s="187">
        <v>3.39</v>
      </c>
      <c r="F332" s="183"/>
      <c r="G332" s="212"/>
      <c r="H332" s="158"/>
      <c r="L332" s="117">
        <v>2</v>
      </c>
      <c r="O332" s="185" t="e">
        <f>D332/#REF!</f>
        <v>#REF!</v>
      </c>
      <c r="Q332" s="376">
        <v>12.4732</v>
      </c>
    </row>
    <row r="333" spans="1:17" ht="15" customHeight="1" x14ac:dyDescent="0.2">
      <c r="A333" s="138" t="s">
        <v>951</v>
      </c>
      <c r="B333" s="137" t="s">
        <v>952</v>
      </c>
      <c r="C333" s="138" t="s">
        <v>184</v>
      </c>
      <c r="D333" s="358">
        <f t="shared" si="5"/>
        <v>42.553400000000003</v>
      </c>
      <c r="E333" s="187">
        <v>18.9008</v>
      </c>
      <c r="F333" s="183"/>
      <c r="G333" s="182"/>
      <c r="H333" s="158"/>
      <c r="L333" s="117">
        <v>1</v>
      </c>
      <c r="O333" s="185" t="e">
        <f>D333/#REF!</f>
        <v>#REF!</v>
      </c>
      <c r="Q333" s="376">
        <v>42.553400000000003</v>
      </c>
    </row>
    <row r="334" spans="1:17" ht="15" customHeight="1" x14ac:dyDescent="0.2">
      <c r="A334" s="138" t="s">
        <v>953</v>
      </c>
      <c r="B334" s="137" t="s">
        <v>954</v>
      </c>
      <c r="C334" s="138" t="s">
        <v>184</v>
      </c>
      <c r="D334" s="358">
        <f t="shared" si="5"/>
        <v>42.328699999999998</v>
      </c>
      <c r="E334" s="187">
        <v>18.9008</v>
      </c>
      <c r="F334" s="183"/>
      <c r="G334" s="182"/>
      <c r="H334" s="158"/>
      <c r="L334" s="117">
        <v>1</v>
      </c>
      <c r="O334" s="185" t="e">
        <f>D334/#REF!</f>
        <v>#REF!</v>
      </c>
      <c r="Q334" s="376">
        <v>42.328699999999998</v>
      </c>
    </row>
    <row r="335" spans="1:17" ht="15" customHeight="1" x14ac:dyDescent="0.2">
      <c r="A335" s="138" t="s">
        <v>955</v>
      </c>
      <c r="B335" s="137" t="s">
        <v>956</v>
      </c>
      <c r="C335" s="138" t="s">
        <v>7</v>
      </c>
      <c r="D335" s="358">
        <f t="shared" si="5"/>
        <v>5.0490000000000004</v>
      </c>
      <c r="E335" s="187">
        <v>1.3553999999999999</v>
      </c>
      <c r="F335" s="183"/>
      <c r="G335" s="182"/>
      <c r="H335" s="158"/>
      <c r="L335" s="117">
        <v>1</v>
      </c>
      <c r="O335" s="185" t="e">
        <f>D335/#REF!</f>
        <v>#REF!</v>
      </c>
      <c r="Q335" s="376">
        <v>5.0490000000000004</v>
      </c>
    </row>
    <row r="336" spans="1:17" ht="15" customHeight="1" x14ac:dyDescent="0.2">
      <c r="A336" s="138" t="s">
        <v>957</v>
      </c>
      <c r="B336" s="137" t="s">
        <v>958</v>
      </c>
      <c r="C336" s="138" t="s">
        <v>7</v>
      </c>
      <c r="D336" s="358">
        <f t="shared" si="5"/>
        <v>20.278099999999998</v>
      </c>
      <c r="E336" s="187">
        <v>5.1322000000000001</v>
      </c>
      <c r="F336" s="183"/>
      <c r="G336" s="182"/>
      <c r="H336" s="158"/>
      <c r="L336" s="117">
        <v>1</v>
      </c>
      <c r="O336" s="185" t="e">
        <f>D336/#REF!</f>
        <v>#REF!</v>
      </c>
      <c r="Q336" s="376">
        <v>20.278099999999998</v>
      </c>
    </row>
    <row r="337" spans="1:17" ht="15" customHeight="1" x14ac:dyDescent="0.2">
      <c r="A337" s="138" t="s">
        <v>959</v>
      </c>
      <c r="B337" s="137" t="s">
        <v>960</v>
      </c>
      <c r="C337" s="138" t="s">
        <v>7</v>
      </c>
      <c r="D337" s="358">
        <f t="shared" si="5"/>
        <v>33.460500000000003</v>
      </c>
      <c r="E337" s="187">
        <v>8.0991999999999997</v>
      </c>
      <c r="F337" s="183"/>
      <c r="G337" s="182"/>
      <c r="H337" s="158"/>
      <c r="L337" s="117">
        <v>1</v>
      </c>
      <c r="O337" s="185" t="e">
        <f>D337/#REF!</f>
        <v>#REF!</v>
      </c>
      <c r="Q337" s="376">
        <v>33.460500000000003</v>
      </c>
    </row>
    <row r="338" spans="1:17" ht="15" customHeight="1" x14ac:dyDescent="0.2">
      <c r="A338" s="138" t="s">
        <v>961</v>
      </c>
      <c r="B338" s="137" t="s">
        <v>962</v>
      </c>
      <c r="C338" s="138" t="s">
        <v>184</v>
      </c>
      <c r="D338" s="358">
        <f t="shared" si="5"/>
        <v>33.460500000000003</v>
      </c>
      <c r="E338" s="187">
        <v>91.876000000000005</v>
      </c>
      <c r="F338" s="183"/>
      <c r="G338" s="182"/>
      <c r="H338" s="158"/>
      <c r="L338" s="117">
        <v>1</v>
      </c>
      <c r="O338" s="185" t="e">
        <f>D338/#REF!</f>
        <v>#REF!</v>
      </c>
      <c r="Q338" s="376">
        <v>33.460500000000003</v>
      </c>
    </row>
    <row r="339" spans="1:17" ht="15" customHeight="1" x14ac:dyDescent="0.2">
      <c r="A339" s="138" t="s">
        <v>963</v>
      </c>
      <c r="B339" s="137" t="s">
        <v>964</v>
      </c>
      <c r="C339" s="138" t="s">
        <v>184</v>
      </c>
      <c r="D339" s="358">
        <f t="shared" si="5"/>
        <v>115.9374</v>
      </c>
      <c r="E339" s="187">
        <v>77.396699999999996</v>
      </c>
      <c r="F339" s="183"/>
      <c r="G339" s="182"/>
      <c r="H339" s="158"/>
      <c r="L339" s="117">
        <v>1</v>
      </c>
      <c r="O339" s="185" t="e">
        <f>D339/#REF!</f>
        <v>#REF!</v>
      </c>
      <c r="Q339" s="376">
        <v>115.9374</v>
      </c>
    </row>
    <row r="340" spans="1:17" ht="15" customHeight="1" x14ac:dyDescent="0.2">
      <c r="A340" s="138" t="s">
        <v>965</v>
      </c>
      <c r="B340" s="137" t="s">
        <v>966</v>
      </c>
      <c r="C340" s="138" t="s">
        <v>184</v>
      </c>
      <c r="D340" s="358">
        <f t="shared" si="5"/>
        <v>93.556100000000001</v>
      </c>
      <c r="E340" s="187">
        <v>40.504100000000001</v>
      </c>
      <c r="F340" s="183"/>
      <c r="G340" s="182"/>
      <c r="H340" s="158"/>
      <c r="L340" s="117">
        <v>1</v>
      </c>
      <c r="O340" s="185" t="e">
        <f>D340/#REF!</f>
        <v>#REF!</v>
      </c>
      <c r="Q340" s="376">
        <v>93.556100000000001</v>
      </c>
    </row>
    <row r="341" spans="1:17" ht="15" customHeight="1" x14ac:dyDescent="0.2">
      <c r="A341" s="138" t="s">
        <v>967</v>
      </c>
      <c r="B341" s="137" t="s">
        <v>968</v>
      </c>
      <c r="C341" s="138" t="s">
        <v>184</v>
      </c>
      <c r="D341" s="358">
        <f t="shared" si="5"/>
        <v>93.961200000000005</v>
      </c>
      <c r="E341" s="187">
        <v>40.504100000000001</v>
      </c>
      <c r="F341" s="183"/>
      <c r="G341" s="182"/>
      <c r="H341" s="158"/>
      <c r="L341" s="117">
        <v>1</v>
      </c>
      <c r="O341" s="185" t="e">
        <f>D341/#REF!</f>
        <v>#REF!</v>
      </c>
      <c r="Q341" s="376">
        <v>93.961200000000005</v>
      </c>
    </row>
    <row r="342" spans="1:17" ht="15" customHeight="1" x14ac:dyDescent="0.2">
      <c r="A342" s="138" t="s">
        <v>969</v>
      </c>
      <c r="B342" s="137" t="s">
        <v>970</v>
      </c>
      <c r="C342" s="138" t="s">
        <v>14</v>
      </c>
      <c r="D342" s="358">
        <f t="shared" si="5"/>
        <v>88.203000000000003</v>
      </c>
      <c r="E342" s="187">
        <v>18.0992</v>
      </c>
      <c r="F342" s="183"/>
      <c r="G342" s="182"/>
      <c r="H342" s="158" t="s">
        <v>382</v>
      </c>
      <c r="L342" s="117">
        <v>1</v>
      </c>
      <c r="O342" s="185" t="e">
        <f>D342/#REF!</f>
        <v>#REF!</v>
      </c>
      <c r="Q342" s="376">
        <v>88.203000000000003</v>
      </c>
    </row>
    <row r="343" spans="1:17" ht="15" customHeight="1" x14ac:dyDescent="0.2">
      <c r="A343" s="138" t="s">
        <v>971</v>
      </c>
      <c r="B343" s="137" t="s">
        <v>972</v>
      </c>
      <c r="C343" s="138" t="s">
        <v>7</v>
      </c>
      <c r="D343" s="358">
        <f t="shared" si="5"/>
        <v>88.203000000000003</v>
      </c>
      <c r="E343" s="187">
        <v>210.16</v>
      </c>
      <c r="F343" s="183"/>
      <c r="G343" s="245"/>
      <c r="H343" s="194" t="s">
        <v>973</v>
      </c>
      <c r="I343" s="117">
        <v>217.48599999999999</v>
      </c>
      <c r="L343" s="117">
        <v>1</v>
      </c>
      <c r="O343" s="185" t="e">
        <f>D343/#REF!</f>
        <v>#REF!</v>
      </c>
      <c r="Q343" s="376">
        <v>88.203000000000003</v>
      </c>
    </row>
    <row r="344" spans="1:17" ht="15" customHeight="1" x14ac:dyDescent="0.2">
      <c r="A344" s="138" t="s">
        <v>974</v>
      </c>
      <c r="B344" s="137" t="s">
        <v>975</v>
      </c>
      <c r="C344" s="138" t="s">
        <v>7</v>
      </c>
      <c r="D344" s="358">
        <f t="shared" si="5"/>
        <v>88.203000000000003</v>
      </c>
      <c r="E344" s="187">
        <v>264.12</v>
      </c>
      <c r="F344" s="183"/>
      <c r="G344" s="182"/>
      <c r="H344" s="194" t="s">
        <v>973</v>
      </c>
      <c r="I344" s="117">
        <v>273.327</v>
      </c>
      <c r="L344" s="117">
        <v>1</v>
      </c>
      <c r="O344" s="185" t="e">
        <f>D344/#REF!</f>
        <v>#REF!</v>
      </c>
      <c r="Q344" s="376">
        <v>88.203000000000003</v>
      </c>
    </row>
    <row r="345" spans="1:17" ht="15" customHeight="1" x14ac:dyDescent="0.2">
      <c r="A345" s="138" t="s">
        <v>976</v>
      </c>
      <c r="B345" s="137" t="s">
        <v>977</v>
      </c>
      <c r="C345" s="138" t="s">
        <v>7</v>
      </c>
      <c r="D345" s="358">
        <f t="shared" si="5"/>
        <v>88.203000000000003</v>
      </c>
      <c r="E345" s="187">
        <v>627.64</v>
      </c>
      <c r="F345" s="183"/>
      <c r="G345" s="245"/>
      <c r="H345" s="194" t="s">
        <v>973</v>
      </c>
      <c r="I345" s="117">
        <v>649.51900000000001</v>
      </c>
      <c r="L345" s="117">
        <v>1</v>
      </c>
      <c r="O345" s="185" t="e">
        <f>D345/#REF!</f>
        <v>#REF!</v>
      </c>
      <c r="Q345" s="376">
        <v>88.203000000000003</v>
      </c>
    </row>
    <row r="346" spans="1:17" ht="15" customHeight="1" x14ac:dyDescent="0.2">
      <c r="A346" s="138" t="s">
        <v>978</v>
      </c>
      <c r="B346" s="137" t="s">
        <v>979</v>
      </c>
      <c r="C346" s="138" t="s">
        <v>7</v>
      </c>
      <c r="D346" s="358">
        <f t="shared" si="5"/>
        <v>88.203000000000003</v>
      </c>
      <c r="E346" s="187">
        <v>1056.48</v>
      </c>
      <c r="F346" s="183"/>
      <c r="G346" s="245"/>
      <c r="H346" s="194" t="s">
        <v>973</v>
      </c>
      <c r="I346" s="117">
        <v>1093.308</v>
      </c>
      <c r="L346" s="117">
        <v>1</v>
      </c>
      <c r="O346" s="185" t="e">
        <f>D346/#REF!</f>
        <v>#REF!</v>
      </c>
      <c r="Q346" s="376">
        <v>88.203000000000003</v>
      </c>
    </row>
    <row r="347" spans="1:17" x14ac:dyDescent="0.2">
      <c r="A347" s="138" t="s">
        <v>980</v>
      </c>
      <c r="B347" s="137" t="s">
        <v>981</v>
      </c>
      <c r="C347" s="138" t="s">
        <v>7</v>
      </c>
      <c r="D347" s="358">
        <f t="shared" si="5"/>
        <v>88.203000000000003</v>
      </c>
      <c r="E347" s="187">
        <v>1136</v>
      </c>
      <c r="F347" s="183"/>
      <c r="G347" s="245"/>
      <c r="H347" s="194" t="s">
        <v>973</v>
      </c>
      <c r="I347" s="117">
        <v>1175.5999999999999</v>
      </c>
      <c r="L347" s="117">
        <v>1</v>
      </c>
      <c r="O347" s="185" t="e">
        <f>D347/#REF!</f>
        <v>#REF!</v>
      </c>
      <c r="Q347" s="376">
        <v>88.203000000000003</v>
      </c>
    </row>
    <row r="348" spans="1:17" x14ac:dyDescent="0.2">
      <c r="A348" s="138" t="s">
        <v>982</v>
      </c>
      <c r="B348" s="137" t="s">
        <v>983</v>
      </c>
      <c r="C348" s="138" t="s">
        <v>184</v>
      </c>
      <c r="D348" s="358">
        <f t="shared" si="5"/>
        <v>826.65</v>
      </c>
      <c r="E348" s="187">
        <v>195.185</v>
      </c>
      <c r="F348" s="217"/>
      <c r="G348" s="212"/>
      <c r="H348" s="194" t="s">
        <v>984</v>
      </c>
      <c r="I348" s="117">
        <v>121.46</v>
      </c>
      <c r="L348" s="117">
        <v>1</v>
      </c>
      <c r="O348" s="185" t="e">
        <f>D348/#REF!</f>
        <v>#REF!</v>
      </c>
      <c r="Q348" s="376">
        <v>826.65</v>
      </c>
    </row>
    <row r="349" spans="1:17" x14ac:dyDescent="0.2">
      <c r="A349" s="138" t="s">
        <v>985</v>
      </c>
      <c r="B349" s="137" t="s">
        <v>986</v>
      </c>
      <c r="C349" s="138" t="s">
        <v>184</v>
      </c>
      <c r="D349" s="358">
        <f t="shared" si="5"/>
        <v>1073.0567000000001</v>
      </c>
      <c r="E349" s="187">
        <v>257.77</v>
      </c>
      <c r="F349" s="217"/>
      <c r="G349" s="212"/>
      <c r="H349" s="194" t="s">
        <v>984</v>
      </c>
      <c r="I349" s="117">
        <v>163.9</v>
      </c>
      <c r="L349" s="117">
        <v>1</v>
      </c>
      <c r="O349" s="185" t="e">
        <f>D349/#REF!</f>
        <v>#REF!</v>
      </c>
      <c r="Q349" s="376">
        <v>1073.0567000000001</v>
      </c>
    </row>
    <row r="350" spans="1:17" x14ac:dyDescent="0.2">
      <c r="A350" s="138" t="s">
        <v>987</v>
      </c>
      <c r="B350" s="137" t="s">
        <v>988</v>
      </c>
      <c r="C350" s="138" t="s">
        <v>184</v>
      </c>
      <c r="D350" s="358">
        <f t="shared" si="5"/>
        <v>1311.94</v>
      </c>
      <c r="E350" s="187">
        <v>312.57499999999999</v>
      </c>
      <c r="F350" s="217"/>
      <c r="G350" s="212"/>
      <c r="H350" s="194" t="s">
        <v>984</v>
      </c>
      <c r="I350" s="117">
        <v>208.48</v>
      </c>
      <c r="L350" s="117">
        <v>1</v>
      </c>
      <c r="O350" s="185" t="e">
        <f>D350/#REF!</f>
        <v>#REF!</v>
      </c>
      <c r="Q350" s="376">
        <v>1311.94</v>
      </c>
    </row>
    <row r="351" spans="1:17" x14ac:dyDescent="0.2">
      <c r="A351" s="138" t="s">
        <v>989</v>
      </c>
      <c r="B351" s="137" t="s">
        <v>990</v>
      </c>
      <c r="C351" s="138" t="s">
        <v>184</v>
      </c>
      <c r="D351" s="358">
        <f t="shared" si="5"/>
        <v>547.38670000000002</v>
      </c>
      <c r="E351" s="187">
        <v>163.94</v>
      </c>
      <c r="F351" s="217"/>
      <c r="G351" s="212"/>
      <c r="H351" s="194" t="s">
        <v>984</v>
      </c>
      <c r="I351" s="117">
        <v>132.63</v>
      </c>
      <c r="L351" s="117">
        <v>1</v>
      </c>
      <c r="O351" s="185" t="e">
        <f>D351/#REF!</f>
        <v>#REF!</v>
      </c>
      <c r="Q351" s="376">
        <v>547.38670000000002</v>
      </c>
    </row>
    <row r="352" spans="1:17" x14ac:dyDescent="0.2">
      <c r="A352" s="138" t="s">
        <v>991</v>
      </c>
      <c r="B352" s="137" t="s">
        <v>992</v>
      </c>
      <c r="C352" s="138" t="s">
        <v>14</v>
      </c>
      <c r="D352" s="358">
        <f t="shared" si="5"/>
        <v>6.75</v>
      </c>
      <c r="E352" s="187">
        <v>1.823</v>
      </c>
      <c r="F352" s="183"/>
      <c r="G352" s="245"/>
      <c r="H352" s="194" t="s">
        <v>984</v>
      </c>
      <c r="I352" s="117">
        <v>1.91035</v>
      </c>
      <c r="L352" s="117">
        <v>1</v>
      </c>
      <c r="O352" s="185" t="e">
        <f>D352/#REF!</f>
        <v>#REF!</v>
      </c>
      <c r="Q352" s="376">
        <v>6.75</v>
      </c>
    </row>
    <row r="353" spans="1:17" x14ac:dyDescent="0.2">
      <c r="A353" s="138" t="s">
        <v>993</v>
      </c>
      <c r="B353" s="137" t="s">
        <v>994</v>
      </c>
      <c r="C353" s="138" t="s">
        <v>184</v>
      </c>
      <c r="D353" s="358">
        <f t="shared" si="5"/>
        <v>690.84</v>
      </c>
      <c r="E353" s="187">
        <v>35.39</v>
      </c>
      <c r="F353" s="183"/>
      <c r="G353" s="245"/>
      <c r="H353" s="194" t="s">
        <v>995</v>
      </c>
      <c r="I353" s="117">
        <v>36.625648293963302</v>
      </c>
      <c r="L353" s="117">
        <v>1</v>
      </c>
      <c r="O353" s="185" t="e">
        <f>D353/#REF!</f>
        <v>#REF!</v>
      </c>
      <c r="Q353" s="376">
        <v>690.84</v>
      </c>
    </row>
    <row r="354" spans="1:17" x14ac:dyDescent="0.2">
      <c r="A354" s="138" t="s">
        <v>996</v>
      </c>
      <c r="B354" s="137" t="s">
        <v>997</v>
      </c>
      <c r="C354" s="138" t="s">
        <v>184</v>
      </c>
      <c r="D354" s="358">
        <f t="shared" si="5"/>
        <v>137.78</v>
      </c>
      <c r="E354" s="187">
        <v>50.1</v>
      </c>
      <c r="F354" s="183"/>
      <c r="G354" s="245"/>
      <c r="H354" s="194" t="s">
        <v>995</v>
      </c>
      <c r="I354" s="117">
        <v>51.843960000000003</v>
      </c>
      <c r="L354" s="117">
        <v>1</v>
      </c>
      <c r="O354" s="185" t="e">
        <f>D354/#REF!</f>
        <v>#REF!</v>
      </c>
      <c r="Q354" s="376">
        <v>137.78</v>
      </c>
    </row>
    <row r="355" spans="1:17" x14ac:dyDescent="0.2">
      <c r="A355" s="138" t="s">
        <v>998</v>
      </c>
      <c r="B355" s="137" t="s">
        <v>999</v>
      </c>
      <c r="C355" s="138" t="s">
        <v>184</v>
      </c>
      <c r="D355" s="358">
        <f t="shared" si="5"/>
        <v>137.78</v>
      </c>
      <c r="E355" s="187">
        <v>110.76</v>
      </c>
      <c r="F355" s="183"/>
      <c r="G355" s="245"/>
      <c r="H355" s="194" t="s">
        <v>995</v>
      </c>
      <c r="I355" s="117">
        <v>114.621</v>
      </c>
      <c r="L355" s="117">
        <v>1</v>
      </c>
      <c r="O355" s="185" t="e">
        <f>D355/#REF!</f>
        <v>#REF!</v>
      </c>
      <c r="Q355" s="376">
        <v>137.78</v>
      </c>
    </row>
    <row r="356" spans="1:17" x14ac:dyDescent="0.2">
      <c r="A356" s="138" t="s">
        <v>1000</v>
      </c>
      <c r="B356" s="137" t="s">
        <v>1001</v>
      </c>
      <c r="C356" s="138" t="s">
        <v>184</v>
      </c>
      <c r="D356" s="358">
        <f t="shared" si="5"/>
        <v>114.11</v>
      </c>
      <c r="E356" s="187">
        <v>53.96</v>
      </c>
      <c r="F356" s="183"/>
      <c r="G356" s="245"/>
      <c r="H356" s="194" t="s">
        <v>995</v>
      </c>
      <c r="I356" s="117">
        <v>55.841000000000001</v>
      </c>
      <c r="L356" s="117">
        <v>1</v>
      </c>
      <c r="O356" s="185" t="e">
        <f>D356/#REF!</f>
        <v>#REF!</v>
      </c>
      <c r="Q356" s="376">
        <v>114.11</v>
      </c>
    </row>
    <row r="357" spans="1:17" ht="15.75" x14ac:dyDescent="0.25">
      <c r="A357" s="138" t="s">
        <v>1002</v>
      </c>
      <c r="B357" s="246" t="s">
        <v>1003</v>
      </c>
      <c r="C357" s="138" t="s">
        <v>262</v>
      </c>
      <c r="D357" s="358">
        <f t="shared" si="5"/>
        <v>4172.13</v>
      </c>
      <c r="E357" s="187">
        <v>785.8</v>
      </c>
      <c r="F357" s="183"/>
      <c r="G357" s="247"/>
      <c r="H357" s="184" t="s">
        <v>1004</v>
      </c>
      <c r="L357" s="117">
        <v>1</v>
      </c>
      <c r="O357" s="185" t="e">
        <f>D357/#REF!</f>
        <v>#REF!</v>
      </c>
      <c r="Q357" s="376">
        <v>4172.13</v>
      </c>
    </row>
    <row r="358" spans="1:17" ht="15.75" x14ac:dyDescent="0.25">
      <c r="A358" s="138" t="s">
        <v>1005</v>
      </c>
      <c r="B358" s="246" t="s">
        <v>1006</v>
      </c>
      <c r="C358" s="138" t="s">
        <v>262</v>
      </c>
      <c r="D358" s="358">
        <f t="shared" si="5"/>
        <v>3703.19</v>
      </c>
      <c r="E358" s="187">
        <v>775.8</v>
      </c>
      <c r="F358" s="183"/>
      <c r="G358" s="247"/>
      <c r="H358" s="184" t="s">
        <v>1007</v>
      </c>
      <c r="L358" s="117">
        <v>1</v>
      </c>
      <c r="O358" s="185" t="e">
        <f>D358/#REF!</f>
        <v>#REF!</v>
      </c>
      <c r="Q358" s="376">
        <v>3703.19</v>
      </c>
    </row>
    <row r="359" spans="1:17" ht="15.75" x14ac:dyDescent="0.25">
      <c r="A359" s="138" t="s">
        <v>1008</v>
      </c>
      <c r="B359" s="137" t="s">
        <v>1009</v>
      </c>
      <c r="C359" s="138" t="s">
        <v>262</v>
      </c>
      <c r="D359" s="358">
        <f t="shared" si="5"/>
        <v>3021</v>
      </c>
      <c r="E359" s="187">
        <v>825.8</v>
      </c>
      <c r="F359" s="183"/>
      <c r="G359" s="247"/>
      <c r="H359" s="184" t="s">
        <v>1010</v>
      </c>
      <c r="L359" s="117">
        <v>1</v>
      </c>
      <c r="O359" s="185" t="e">
        <f>D359/#REF!</f>
        <v>#REF!</v>
      </c>
      <c r="Q359" s="376">
        <v>3021</v>
      </c>
    </row>
    <row r="360" spans="1:17" ht="15.75" x14ac:dyDescent="0.25">
      <c r="A360" s="138" t="s">
        <v>1011</v>
      </c>
      <c r="B360" s="137" t="s">
        <v>1012</v>
      </c>
      <c r="C360" s="138" t="s">
        <v>262</v>
      </c>
      <c r="D360" s="358">
        <f t="shared" si="5"/>
        <v>4001.12</v>
      </c>
      <c r="E360" s="187">
        <v>695.8</v>
      </c>
      <c r="F360" s="183"/>
      <c r="G360" s="247"/>
      <c r="H360" s="184" t="s">
        <v>1013</v>
      </c>
      <c r="L360" s="117">
        <v>1</v>
      </c>
      <c r="O360" s="185" t="e">
        <f>D360/#REF!</f>
        <v>#REF!</v>
      </c>
      <c r="Q360" s="376">
        <v>4001.12</v>
      </c>
    </row>
    <row r="361" spans="1:17" x14ac:dyDescent="0.2">
      <c r="A361" s="138" t="s">
        <v>1014</v>
      </c>
      <c r="B361" s="137" t="s">
        <v>1015</v>
      </c>
      <c r="C361" s="138" t="s">
        <v>281</v>
      </c>
      <c r="D361" s="358">
        <f t="shared" si="5"/>
        <v>2900</v>
      </c>
      <c r="E361" s="187">
        <v>482.8</v>
      </c>
      <c r="F361" s="183"/>
      <c r="G361" s="245"/>
      <c r="H361" s="194" t="s">
        <v>1016</v>
      </c>
      <c r="I361" s="117">
        <v>499.63</v>
      </c>
      <c r="L361" s="117">
        <v>1</v>
      </c>
      <c r="O361" s="185" t="e">
        <f>D361/#REF!</f>
        <v>#REF!</v>
      </c>
      <c r="Q361" s="376">
        <v>2900</v>
      </c>
    </row>
    <row r="362" spans="1:17" x14ac:dyDescent="0.2">
      <c r="A362" s="138" t="s">
        <v>1017</v>
      </c>
      <c r="B362" s="137" t="s">
        <v>1018</v>
      </c>
      <c r="C362" s="138" t="s">
        <v>1019</v>
      </c>
      <c r="D362" s="358">
        <f t="shared" si="5"/>
        <v>0.26</v>
      </c>
      <c r="E362" s="187">
        <v>4.2999999999999997E-2</v>
      </c>
      <c r="F362" s="183"/>
      <c r="G362" s="245"/>
      <c r="H362" s="194" t="s">
        <v>1016</v>
      </c>
      <c r="I362" s="117">
        <v>4.4084999999999999E-2</v>
      </c>
      <c r="L362" s="117">
        <v>1</v>
      </c>
      <c r="O362" s="185" t="e">
        <f>D362/#REF!</f>
        <v>#REF!</v>
      </c>
      <c r="Q362" s="376">
        <v>0.26</v>
      </c>
    </row>
    <row r="363" spans="1:17" x14ac:dyDescent="0.2">
      <c r="A363" s="138" t="s">
        <v>1020</v>
      </c>
      <c r="B363" s="137" t="s">
        <v>1021</v>
      </c>
      <c r="C363" s="138" t="s">
        <v>14</v>
      </c>
      <c r="D363" s="358">
        <f t="shared" si="5"/>
        <v>74.38</v>
      </c>
      <c r="E363" s="187">
        <v>29</v>
      </c>
      <c r="F363" s="183"/>
      <c r="G363" s="148"/>
      <c r="H363" s="194" t="s">
        <v>1022</v>
      </c>
      <c r="L363" s="117">
        <v>1</v>
      </c>
      <c r="O363" s="185" t="e">
        <f>D363/#REF!</f>
        <v>#REF!</v>
      </c>
      <c r="Q363" s="376">
        <v>74.38</v>
      </c>
    </row>
    <row r="364" spans="1:17" x14ac:dyDescent="0.2">
      <c r="A364" s="138" t="s">
        <v>1023</v>
      </c>
      <c r="B364" s="246" t="s">
        <v>1024</v>
      </c>
      <c r="C364" s="138" t="s">
        <v>262</v>
      </c>
      <c r="D364" s="358">
        <f t="shared" si="5"/>
        <v>5520.68</v>
      </c>
      <c r="E364" s="187">
        <v>799.4</v>
      </c>
      <c r="F364" s="183"/>
      <c r="G364" s="248"/>
      <c r="H364" s="194" t="s">
        <v>1025</v>
      </c>
      <c r="L364" s="117">
        <v>1</v>
      </c>
      <c r="O364" s="185" t="e">
        <f>D364/#REF!</f>
        <v>#REF!</v>
      </c>
      <c r="Q364" s="376">
        <v>5520.68</v>
      </c>
    </row>
    <row r="365" spans="1:17" x14ac:dyDescent="0.2">
      <c r="A365" s="138" t="s">
        <v>1026</v>
      </c>
      <c r="B365" s="137" t="s">
        <v>1027</v>
      </c>
      <c r="C365" s="138" t="s">
        <v>184</v>
      </c>
      <c r="D365" s="358">
        <f t="shared" si="5"/>
        <v>82000</v>
      </c>
      <c r="E365" s="187">
        <v>21500</v>
      </c>
      <c r="F365" s="183"/>
      <c r="G365" s="148"/>
      <c r="H365" s="194" t="s">
        <v>1028</v>
      </c>
      <c r="L365" s="117">
        <v>1</v>
      </c>
      <c r="O365" s="185" t="e">
        <f>D365/#REF!</f>
        <v>#REF!</v>
      </c>
      <c r="Q365" s="376">
        <v>82000</v>
      </c>
    </row>
    <row r="366" spans="1:17" x14ac:dyDescent="0.2">
      <c r="A366" s="138" t="s">
        <v>1029</v>
      </c>
      <c r="B366" s="137" t="s">
        <v>1030</v>
      </c>
      <c r="C366" s="138" t="s">
        <v>184</v>
      </c>
      <c r="D366" s="358">
        <f t="shared" si="5"/>
        <v>13322.31</v>
      </c>
      <c r="E366" s="187">
        <v>3175</v>
      </c>
      <c r="F366" s="183"/>
      <c r="G366" s="148"/>
      <c r="H366" s="194" t="s">
        <v>1028</v>
      </c>
      <c r="K366" s="117">
        <f>K367/1.21</f>
        <v>20753.25</v>
      </c>
      <c r="L366" s="117">
        <v>1</v>
      </c>
      <c r="O366" s="185" t="e">
        <f>D366/#REF!</f>
        <v>#REF!</v>
      </c>
      <c r="Q366" s="376">
        <v>13322.31</v>
      </c>
    </row>
    <row r="367" spans="1:17" x14ac:dyDescent="0.2">
      <c r="A367" s="138" t="s">
        <v>1031</v>
      </c>
      <c r="B367" s="137" t="s">
        <v>1032</v>
      </c>
      <c r="C367" s="138" t="s">
        <v>14</v>
      </c>
      <c r="D367" s="358">
        <f t="shared" si="5"/>
        <v>1454.55</v>
      </c>
      <c r="E367" s="187">
        <v>360</v>
      </c>
      <c r="F367" s="183"/>
      <c r="G367" s="148"/>
      <c r="H367" s="194" t="s">
        <v>1028</v>
      </c>
      <c r="J367" s="249" t="s">
        <v>31</v>
      </c>
      <c r="K367" s="117">
        <f>K368*E195</f>
        <v>25111.432499999999</v>
      </c>
      <c r="L367" s="117">
        <v>1</v>
      </c>
      <c r="O367" s="185" t="e">
        <f>D367/#REF!</f>
        <v>#REF!</v>
      </c>
      <c r="Q367" s="376">
        <v>1454.55</v>
      </c>
    </row>
    <row r="368" spans="1:17" x14ac:dyDescent="0.2">
      <c r="A368" s="138" t="s">
        <v>1033</v>
      </c>
      <c r="B368" s="137" t="s">
        <v>1034</v>
      </c>
      <c r="C368" s="138" t="s">
        <v>11</v>
      </c>
      <c r="D368" s="358">
        <f t="shared" si="5"/>
        <v>102152.38</v>
      </c>
      <c r="E368" s="187">
        <v>22000</v>
      </c>
      <c r="F368" s="183"/>
      <c r="G368" s="245"/>
      <c r="H368" s="194" t="s">
        <v>1035</v>
      </c>
      <c r="I368" s="250"/>
      <c r="K368" s="117">
        <f>45.98+54.45+93.17+1300.75+895.4+240.79+114.95+114.95+1143.45+(33.88*12)+26.62+78.65+119.79+54.45+592.9+(18.15*6)+118.58+114.95+237.16+774.4+1875.5</f>
        <v>8512.3499999999985</v>
      </c>
      <c r="L368" s="117">
        <v>24</v>
      </c>
      <c r="O368" s="185" t="e">
        <f>D368/#REF!</f>
        <v>#REF!</v>
      </c>
      <c r="Q368" s="376">
        <v>102152.38</v>
      </c>
    </row>
    <row r="369" spans="1:17" x14ac:dyDescent="0.2">
      <c r="A369" s="138" t="s">
        <v>1036</v>
      </c>
      <c r="B369" s="137" t="s">
        <v>1037</v>
      </c>
      <c r="C369" s="138" t="s">
        <v>9</v>
      </c>
      <c r="D369" s="358">
        <f t="shared" si="5"/>
        <v>183.48500000000001</v>
      </c>
      <c r="E369" s="187">
        <v>21.276700000000002</v>
      </c>
      <c r="F369" s="183"/>
      <c r="G369" s="148"/>
      <c r="H369" s="194" t="s">
        <v>1038</v>
      </c>
      <c r="I369" s="251">
        <v>25725.463629999998</v>
      </c>
      <c r="K369" s="252">
        <f>180+200+450+3300+3200+650+300+500+4000+(75*12)+80+250+450+200+2000+(60*6)+300+350+750+2200+6000</f>
        <v>26620</v>
      </c>
      <c r="L369" s="117">
        <v>1</v>
      </c>
      <c r="O369" s="185" t="e">
        <f>D369/#REF!</f>
        <v>#REF!</v>
      </c>
      <c r="Q369" s="376">
        <v>183.48500000000001</v>
      </c>
    </row>
    <row r="370" spans="1:17" x14ac:dyDescent="0.2">
      <c r="A370" s="138" t="s">
        <v>1039</v>
      </c>
      <c r="B370" s="137" t="s">
        <v>1040</v>
      </c>
      <c r="C370" s="138" t="s">
        <v>9</v>
      </c>
      <c r="D370" s="358">
        <f t="shared" si="5"/>
        <v>241.78</v>
      </c>
      <c r="E370" s="187">
        <v>40</v>
      </c>
      <c r="F370" s="183"/>
      <c r="G370" s="148"/>
      <c r="H370" s="194" t="s">
        <v>1038</v>
      </c>
      <c r="K370" s="252">
        <f>147.62+174.24+296.45+3932.5+968+2722.5+943+774.4+367.84+496.1+4235+5929+(90.75*12)+84.7+242+387.2+193.6+2420+(72.6)+393.25+605+914.76+2154.75+6231.5</f>
        <v>35775.009999999995</v>
      </c>
      <c r="L370" s="117">
        <v>1</v>
      </c>
      <c r="O370" s="185" t="e">
        <f>D370/#REF!</f>
        <v>#REF!</v>
      </c>
      <c r="Q370" s="376">
        <v>241.78</v>
      </c>
    </row>
    <row r="371" spans="1:17" x14ac:dyDescent="0.2">
      <c r="A371" s="138" t="s">
        <v>1041</v>
      </c>
      <c r="B371" s="137" t="s">
        <v>1040</v>
      </c>
      <c r="C371" s="138" t="s">
        <v>9</v>
      </c>
      <c r="D371" s="358">
        <f t="shared" si="5"/>
        <v>121</v>
      </c>
      <c r="E371" s="187"/>
      <c r="F371" s="183"/>
      <c r="G371" s="148"/>
      <c r="H371" s="194"/>
      <c r="K371" s="252"/>
      <c r="O371" s="185"/>
      <c r="Q371" s="376">
        <v>121</v>
      </c>
    </row>
    <row r="372" spans="1:17" x14ac:dyDescent="0.2">
      <c r="A372" s="138" t="s">
        <v>1042</v>
      </c>
      <c r="B372" s="137" t="s">
        <v>1043</v>
      </c>
      <c r="C372" s="138" t="s">
        <v>16</v>
      </c>
      <c r="D372" s="358">
        <f t="shared" si="5"/>
        <v>9.26</v>
      </c>
      <c r="E372" s="187">
        <v>4.5</v>
      </c>
      <c r="F372" s="183"/>
      <c r="G372" s="148"/>
      <c r="H372" s="194" t="s">
        <v>1028</v>
      </c>
      <c r="K372" s="252"/>
      <c r="O372" s="185" t="e">
        <f>D372/#REF!</f>
        <v>#REF!</v>
      </c>
      <c r="Q372" s="376">
        <v>9.26</v>
      </c>
    </row>
    <row r="373" spans="1:17" x14ac:dyDescent="0.2">
      <c r="A373" s="138" t="s">
        <v>1044</v>
      </c>
      <c r="B373" s="137" t="s">
        <v>1045</v>
      </c>
      <c r="C373" s="138" t="s">
        <v>184</v>
      </c>
      <c r="D373" s="358">
        <f t="shared" si="5"/>
        <v>53.427900000000001</v>
      </c>
      <c r="E373" s="187">
        <v>9.9741</v>
      </c>
      <c r="F373" s="183"/>
      <c r="G373" s="148"/>
      <c r="H373" s="158" t="s">
        <v>1046</v>
      </c>
      <c r="K373" s="117">
        <f>K370/1.21</f>
        <v>29566.123966942145</v>
      </c>
      <c r="L373" s="117">
        <v>2</v>
      </c>
      <c r="O373" s="185" t="e">
        <f>D373/#REF!</f>
        <v>#REF!</v>
      </c>
      <c r="Q373" s="376">
        <v>53.427900000000001</v>
      </c>
    </row>
    <row r="374" spans="1:17" x14ac:dyDescent="0.2">
      <c r="A374" s="138" t="s">
        <v>1047</v>
      </c>
      <c r="B374" s="137" t="s">
        <v>1048</v>
      </c>
      <c r="C374" s="138" t="s">
        <v>184</v>
      </c>
      <c r="D374" s="358">
        <f t="shared" si="5"/>
        <v>46.262900000000002</v>
      </c>
      <c r="E374" s="187">
        <v>8.2141999999999999</v>
      </c>
      <c r="F374" s="183"/>
      <c r="G374" s="182"/>
      <c r="H374" s="158"/>
      <c r="L374" s="117">
        <v>2</v>
      </c>
      <c r="O374" s="185" t="e">
        <f>D374/#REF!</f>
        <v>#REF!</v>
      </c>
      <c r="Q374" s="376">
        <v>46.262900000000002</v>
      </c>
    </row>
    <row r="375" spans="1:17" x14ac:dyDescent="0.2">
      <c r="A375" s="138" t="s">
        <v>1049</v>
      </c>
      <c r="B375" s="137" t="s">
        <v>1050</v>
      </c>
      <c r="C375" s="138" t="s">
        <v>184</v>
      </c>
      <c r="D375" s="358">
        <f t="shared" si="5"/>
        <v>412.5</v>
      </c>
      <c r="E375" s="187">
        <v>43.11</v>
      </c>
      <c r="F375" s="183"/>
      <c r="G375" s="182"/>
      <c r="H375" s="158"/>
      <c r="L375" s="117">
        <v>1</v>
      </c>
      <c r="O375" s="185" t="e">
        <f>D375/#REF!</f>
        <v>#REF!</v>
      </c>
      <c r="Q375" s="376">
        <v>412.5</v>
      </c>
    </row>
    <row r="376" spans="1:17" x14ac:dyDescent="0.2">
      <c r="A376" s="138" t="s">
        <v>1051</v>
      </c>
      <c r="B376" s="137" t="s">
        <v>1052</v>
      </c>
      <c r="C376" s="138" t="s">
        <v>184</v>
      </c>
      <c r="D376" s="358">
        <f t="shared" si="5"/>
        <v>347.23500000000001</v>
      </c>
      <c r="E376" s="187">
        <v>38.36</v>
      </c>
      <c r="F376" s="183"/>
      <c r="G376" s="182"/>
      <c r="H376" s="158" t="s">
        <v>1053</v>
      </c>
      <c r="L376" s="117">
        <v>1</v>
      </c>
      <c r="O376" s="185" t="e">
        <f>D376/#REF!</f>
        <v>#REF!</v>
      </c>
      <c r="Q376" s="376">
        <v>347.23500000000001</v>
      </c>
    </row>
    <row r="377" spans="1:17" x14ac:dyDescent="0.2">
      <c r="A377" s="138" t="s">
        <v>1054</v>
      </c>
      <c r="B377" s="137" t="s">
        <v>1055</v>
      </c>
      <c r="C377" s="138" t="s">
        <v>184</v>
      </c>
      <c r="D377" s="358">
        <f t="shared" si="5"/>
        <v>422.92</v>
      </c>
      <c r="E377" s="187">
        <v>50.8</v>
      </c>
      <c r="F377" s="183"/>
      <c r="G377" s="182"/>
      <c r="H377" s="158" t="s">
        <v>1053</v>
      </c>
      <c r="L377" s="117">
        <v>1</v>
      </c>
      <c r="O377" s="185" t="e">
        <f>D377/#REF!</f>
        <v>#REF!</v>
      </c>
      <c r="Q377" s="376">
        <v>422.92</v>
      </c>
    </row>
    <row r="378" spans="1:17" x14ac:dyDescent="0.2">
      <c r="A378" s="138" t="s">
        <v>1056</v>
      </c>
      <c r="B378" s="165" t="s">
        <v>1057</v>
      </c>
      <c r="C378" s="169" t="s">
        <v>184</v>
      </c>
      <c r="D378" s="358">
        <f t="shared" si="5"/>
        <v>422.92</v>
      </c>
      <c r="E378" s="187">
        <v>8.17</v>
      </c>
      <c r="F378" s="253"/>
      <c r="G378" s="182"/>
      <c r="H378" s="158"/>
      <c r="O378" s="185" t="e">
        <f>D378/#REF!</f>
        <v>#REF!</v>
      </c>
      <c r="Q378" s="376">
        <v>422.92</v>
      </c>
    </row>
    <row r="379" spans="1:17" x14ac:dyDescent="0.2">
      <c r="A379" s="138" t="s">
        <v>1058</v>
      </c>
      <c r="B379" s="137" t="s">
        <v>1059</v>
      </c>
      <c r="C379" s="138" t="s">
        <v>7</v>
      </c>
      <c r="D379" s="358">
        <f t="shared" si="5"/>
        <v>14.436</v>
      </c>
      <c r="E379" s="187">
        <v>4.24</v>
      </c>
      <c r="F379" s="183"/>
      <c r="G379" s="182"/>
      <c r="H379" s="158" t="s">
        <v>1060</v>
      </c>
      <c r="L379" s="117">
        <v>2</v>
      </c>
      <c r="O379" s="185" t="e">
        <f>D379/#REF!</f>
        <v>#REF!</v>
      </c>
      <c r="Q379" s="376">
        <v>14.436</v>
      </c>
    </row>
    <row r="380" spans="1:17" x14ac:dyDescent="0.2">
      <c r="A380" s="138" t="s">
        <v>1061</v>
      </c>
      <c r="B380" s="137" t="s">
        <v>1062</v>
      </c>
      <c r="C380" s="138" t="s">
        <v>7</v>
      </c>
      <c r="D380" s="358">
        <f t="shared" si="5"/>
        <v>40.078600000000002</v>
      </c>
      <c r="E380" s="187">
        <v>5.9076000000000004</v>
      </c>
      <c r="F380" s="183"/>
      <c r="G380" s="182"/>
      <c r="H380" s="158"/>
      <c r="L380" s="117">
        <v>2</v>
      </c>
      <c r="O380" s="185" t="e">
        <f>D380/#REF!</f>
        <v>#REF!</v>
      </c>
      <c r="Q380" s="376">
        <v>40.078600000000002</v>
      </c>
    </row>
    <row r="381" spans="1:17" x14ac:dyDescent="0.2">
      <c r="A381" s="138" t="s">
        <v>1063</v>
      </c>
      <c r="B381" s="137" t="s">
        <v>1064</v>
      </c>
      <c r="C381" s="138" t="s">
        <v>7</v>
      </c>
      <c r="D381" s="358">
        <f t="shared" si="5"/>
        <v>51.534300000000002</v>
      </c>
      <c r="E381" s="187">
        <v>6.8148999999999997</v>
      </c>
      <c r="F381" s="183"/>
      <c r="G381" s="182"/>
      <c r="H381" s="158" t="s">
        <v>1065</v>
      </c>
      <c r="L381" s="117">
        <v>2</v>
      </c>
      <c r="O381" s="185" t="e">
        <f>D381/#REF!</f>
        <v>#REF!</v>
      </c>
      <c r="Q381" s="376">
        <v>51.534300000000002</v>
      </c>
    </row>
    <row r="382" spans="1:17" x14ac:dyDescent="0.2">
      <c r="A382" s="138" t="s">
        <v>1066</v>
      </c>
      <c r="B382" s="137" t="s">
        <v>1067</v>
      </c>
      <c r="C382" s="138" t="s">
        <v>184</v>
      </c>
      <c r="D382" s="358">
        <f t="shared" si="5"/>
        <v>2.7149999999999999</v>
      </c>
      <c r="E382" s="222">
        <v>0.63</v>
      </c>
      <c r="F382" s="183"/>
      <c r="G382" s="182"/>
      <c r="H382" s="158"/>
      <c r="L382" s="117">
        <v>2</v>
      </c>
      <c r="O382" s="185" t="e">
        <f>D382/#REF!</f>
        <v>#REF!</v>
      </c>
      <c r="Q382" s="376">
        <v>2.7149999999999999</v>
      </c>
    </row>
    <row r="383" spans="1:17" x14ac:dyDescent="0.2">
      <c r="A383" s="138" t="s">
        <v>1068</v>
      </c>
      <c r="B383" s="137" t="s">
        <v>1069</v>
      </c>
      <c r="C383" s="138" t="s">
        <v>184</v>
      </c>
      <c r="D383" s="358">
        <f t="shared" si="5"/>
        <v>8.4977999999999998</v>
      </c>
      <c r="E383" s="222">
        <v>0.89</v>
      </c>
      <c r="F383" s="183"/>
      <c r="G383" s="182"/>
      <c r="H383" s="158"/>
      <c r="L383" s="117">
        <v>2</v>
      </c>
      <c r="O383" s="185" t="e">
        <f>D383/#REF!</f>
        <v>#REF!</v>
      </c>
      <c r="Q383" s="376">
        <v>8.4977999999999998</v>
      </c>
    </row>
    <row r="384" spans="1:17" x14ac:dyDescent="0.2">
      <c r="A384" s="138" t="s">
        <v>1070</v>
      </c>
      <c r="B384" s="137" t="s">
        <v>1071</v>
      </c>
      <c r="C384" s="138" t="s">
        <v>184</v>
      </c>
      <c r="D384" s="358">
        <f t="shared" si="5"/>
        <v>162.85499999999999</v>
      </c>
      <c r="E384" s="187">
        <v>11.28</v>
      </c>
      <c r="F384" s="183"/>
      <c r="G384" s="182"/>
      <c r="H384" s="158"/>
      <c r="L384" s="117">
        <v>2</v>
      </c>
      <c r="O384" s="185" t="e">
        <f>D384/#REF!</f>
        <v>#REF!</v>
      </c>
      <c r="Q384" s="376">
        <v>162.85499999999999</v>
      </c>
    </row>
    <row r="385" spans="1:17" x14ac:dyDescent="0.2">
      <c r="A385" s="138" t="s">
        <v>1072</v>
      </c>
      <c r="B385" s="137" t="s">
        <v>1073</v>
      </c>
      <c r="C385" s="138" t="s">
        <v>184</v>
      </c>
      <c r="D385" s="358">
        <f t="shared" si="5"/>
        <v>45.45</v>
      </c>
      <c r="E385" s="187">
        <v>10.75</v>
      </c>
      <c r="F385" s="183"/>
      <c r="G385" s="182"/>
      <c r="H385" s="158"/>
      <c r="L385" s="117">
        <v>1</v>
      </c>
      <c r="O385" s="185" t="e">
        <f>D385/#REF!</f>
        <v>#REF!</v>
      </c>
      <c r="Q385" s="376">
        <v>45.45</v>
      </c>
    </row>
    <row r="386" spans="1:17" x14ac:dyDescent="0.2">
      <c r="A386" s="138" t="s">
        <v>1074</v>
      </c>
      <c r="B386" s="165" t="s">
        <v>1075</v>
      </c>
      <c r="C386" s="169" t="s">
        <v>184</v>
      </c>
      <c r="D386" s="358">
        <f t="shared" si="5"/>
        <v>1</v>
      </c>
      <c r="E386" s="187">
        <v>0.27550000000000002</v>
      </c>
      <c r="F386" s="254"/>
      <c r="G386" s="182"/>
      <c r="H386" s="158"/>
      <c r="O386" s="185" t="e">
        <f>D386/#REF!</f>
        <v>#REF!</v>
      </c>
      <c r="Q386" s="376">
        <v>1</v>
      </c>
    </row>
    <row r="387" spans="1:17" x14ac:dyDescent="0.2">
      <c r="A387" s="138" t="s">
        <v>1076</v>
      </c>
      <c r="B387" s="165" t="s">
        <v>1077</v>
      </c>
      <c r="C387" s="169" t="s">
        <v>184</v>
      </c>
      <c r="D387" s="358">
        <f t="shared" si="5"/>
        <v>1.2350000000000001</v>
      </c>
      <c r="E387" s="187">
        <v>0.29370000000000002</v>
      </c>
      <c r="F387" s="255"/>
      <c r="G387" s="182"/>
      <c r="H387" s="158"/>
      <c r="O387" s="185" t="e">
        <f>D387/#REF!</f>
        <v>#REF!</v>
      </c>
      <c r="Q387" s="376">
        <v>1.2350000000000001</v>
      </c>
    </row>
    <row r="388" spans="1:17" x14ac:dyDescent="0.2">
      <c r="A388" s="138" t="s">
        <v>1078</v>
      </c>
      <c r="B388" s="137" t="s">
        <v>1079</v>
      </c>
      <c r="C388" s="138" t="s">
        <v>184</v>
      </c>
      <c r="D388" s="358">
        <f t="shared" si="5"/>
        <v>3.5249999999999999</v>
      </c>
      <c r="E388" s="187">
        <v>0.88</v>
      </c>
      <c r="F388" s="255"/>
      <c r="G388" s="182"/>
      <c r="H388" s="158"/>
      <c r="L388" s="117">
        <v>2</v>
      </c>
      <c r="O388" s="185" t="e">
        <f>D388/#REF!</f>
        <v>#REF!</v>
      </c>
      <c r="Q388" s="376">
        <v>3.5249999999999999</v>
      </c>
    </row>
    <row r="389" spans="1:17" x14ac:dyDescent="0.2">
      <c r="A389" s="138" t="s">
        <v>1080</v>
      </c>
      <c r="B389" s="137" t="s">
        <v>1081</v>
      </c>
      <c r="C389" s="138" t="s">
        <v>184</v>
      </c>
      <c r="D389" s="358">
        <f t="shared" si="5"/>
        <v>260.4905</v>
      </c>
      <c r="E389" s="187">
        <v>47.758499999999998</v>
      </c>
      <c r="F389" s="183"/>
      <c r="G389" s="182"/>
      <c r="H389" s="158"/>
      <c r="L389" s="117">
        <v>2</v>
      </c>
      <c r="O389" s="185" t="e">
        <f>D389/#REF!</f>
        <v>#REF!</v>
      </c>
      <c r="Q389" s="376">
        <v>260.4905</v>
      </c>
    </row>
    <row r="390" spans="1:17" x14ac:dyDescent="0.2">
      <c r="A390" s="138" t="s">
        <v>1082</v>
      </c>
      <c r="B390" s="137" t="s">
        <v>1083</v>
      </c>
      <c r="C390" s="138" t="s">
        <v>184</v>
      </c>
      <c r="D390" s="358">
        <f t="shared" si="5"/>
        <v>144.1867</v>
      </c>
      <c r="E390" s="187">
        <v>24.710799999999999</v>
      </c>
      <c r="F390" s="217"/>
      <c r="G390" s="182"/>
      <c r="H390" s="117" t="s">
        <v>1084</v>
      </c>
      <c r="L390" s="117">
        <v>3</v>
      </c>
      <c r="O390" s="185" t="e">
        <f>D390/#REF!</f>
        <v>#REF!</v>
      </c>
      <c r="Q390" s="376">
        <v>144.1867</v>
      </c>
    </row>
    <row r="391" spans="1:17" x14ac:dyDescent="0.2">
      <c r="A391" s="138" t="s">
        <v>1085</v>
      </c>
      <c r="B391" s="137" t="s">
        <v>1086</v>
      </c>
      <c r="C391" s="138" t="s">
        <v>7</v>
      </c>
      <c r="D391" s="358">
        <f t="shared" si="5"/>
        <v>24.585899999999999</v>
      </c>
      <c r="E391" s="187">
        <v>5.8410000000000002</v>
      </c>
      <c r="F391" s="217"/>
      <c r="G391" s="182"/>
      <c r="H391" s="158"/>
      <c r="L391" s="117">
        <v>2</v>
      </c>
      <c r="O391" s="185" t="e">
        <f>D391/#REF!</f>
        <v>#REF!</v>
      </c>
      <c r="Q391" s="376">
        <v>24.585899999999999</v>
      </c>
    </row>
    <row r="392" spans="1:17" x14ac:dyDescent="0.2">
      <c r="A392" s="138" t="s">
        <v>1087</v>
      </c>
      <c r="B392" s="137" t="s">
        <v>1088</v>
      </c>
      <c r="C392" s="138" t="s">
        <v>184</v>
      </c>
      <c r="D392" s="358">
        <f t="shared" ref="D392:D441" si="6">Q392</f>
        <v>30.13</v>
      </c>
      <c r="E392" s="187">
        <v>6.71</v>
      </c>
      <c r="F392" s="217"/>
      <c r="G392" s="182"/>
      <c r="H392" s="158"/>
      <c r="O392" s="185" t="e">
        <f>D392/#REF!</f>
        <v>#REF!</v>
      </c>
      <c r="Q392" s="376">
        <v>30.13</v>
      </c>
    </row>
    <row r="393" spans="1:17" x14ac:dyDescent="0.2">
      <c r="A393" s="138" t="s">
        <v>1089</v>
      </c>
      <c r="B393" s="137" t="s">
        <v>1090</v>
      </c>
      <c r="C393" s="138" t="s">
        <v>184</v>
      </c>
      <c r="D393" s="358">
        <f t="shared" si="6"/>
        <v>404.92989999999998</v>
      </c>
      <c r="E393" s="187">
        <v>89.85</v>
      </c>
      <c r="F393" s="217"/>
      <c r="G393" s="182"/>
      <c r="H393" s="158"/>
      <c r="L393" s="117">
        <v>2</v>
      </c>
      <c r="O393" s="185" t="e">
        <f>D393/#REF!</f>
        <v>#REF!</v>
      </c>
      <c r="Q393" s="376">
        <v>404.92989999999998</v>
      </c>
    </row>
    <row r="394" spans="1:17" x14ac:dyDescent="0.2">
      <c r="A394" s="138" t="s">
        <v>1091</v>
      </c>
      <c r="B394" s="137" t="s">
        <v>1092</v>
      </c>
      <c r="C394" s="138" t="s">
        <v>184</v>
      </c>
      <c r="D394" s="358">
        <f t="shared" si="6"/>
        <v>750.86</v>
      </c>
      <c r="E394" s="187">
        <v>91.46</v>
      </c>
      <c r="F394" s="217"/>
      <c r="G394" s="256"/>
      <c r="H394" s="158" t="s">
        <v>1053</v>
      </c>
      <c r="L394" s="117">
        <v>1</v>
      </c>
      <c r="O394" s="185" t="e">
        <f>D394/#REF!</f>
        <v>#REF!</v>
      </c>
      <c r="Q394" s="376">
        <v>750.86</v>
      </c>
    </row>
    <row r="395" spans="1:17" x14ac:dyDescent="0.2">
      <c r="A395" s="138" t="s">
        <v>1093</v>
      </c>
      <c r="B395" s="137" t="s">
        <v>1094</v>
      </c>
      <c r="C395" s="138" t="s">
        <v>184</v>
      </c>
      <c r="D395" s="358">
        <f t="shared" si="6"/>
        <v>69.2226</v>
      </c>
      <c r="E395" s="222">
        <v>7.24</v>
      </c>
      <c r="F395" s="217"/>
      <c r="G395" s="182"/>
      <c r="H395" s="158"/>
      <c r="L395" s="117">
        <v>2</v>
      </c>
      <c r="O395" s="185" t="e">
        <f>D395/#REF!</f>
        <v>#REF!</v>
      </c>
      <c r="Q395" s="376">
        <v>69.2226</v>
      </c>
    </row>
    <row r="396" spans="1:17" x14ac:dyDescent="0.2">
      <c r="A396" s="138" t="s">
        <v>1095</v>
      </c>
      <c r="B396" s="137" t="s">
        <v>1096</v>
      </c>
      <c r="C396" s="138" t="s">
        <v>184</v>
      </c>
      <c r="D396" s="358">
        <f t="shared" si="6"/>
        <v>69.955100000000002</v>
      </c>
      <c r="E396" s="222">
        <v>7.81</v>
      </c>
      <c r="F396" s="217"/>
      <c r="G396" s="182"/>
      <c r="H396" s="158"/>
      <c r="L396" s="117">
        <v>2</v>
      </c>
      <c r="O396" s="185" t="e">
        <f>D396/#REF!</f>
        <v>#REF!</v>
      </c>
      <c r="Q396" s="376">
        <v>69.955100000000002</v>
      </c>
    </row>
    <row r="397" spans="1:17" x14ac:dyDescent="0.2">
      <c r="A397" s="138" t="s">
        <v>1097</v>
      </c>
      <c r="B397" s="165" t="s">
        <v>1098</v>
      </c>
      <c r="C397" s="169" t="s">
        <v>184</v>
      </c>
      <c r="D397" s="358">
        <f t="shared" si="6"/>
        <v>70.495900000000006</v>
      </c>
      <c r="E397" s="222">
        <v>7.58</v>
      </c>
      <c r="F397" s="183"/>
      <c r="G397" s="182"/>
      <c r="H397" s="158"/>
      <c r="O397" s="185" t="e">
        <f>D397/#REF!</f>
        <v>#REF!</v>
      </c>
      <c r="Q397" s="376">
        <v>70.495900000000006</v>
      </c>
    </row>
    <row r="398" spans="1:17" x14ac:dyDescent="0.2">
      <c r="A398" s="138" t="s">
        <v>1099</v>
      </c>
      <c r="B398" s="165" t="s">
        <v>1100</v>
      </c>
      <c r="C398" s="169" t="s">
        <v>184</v>
      </c>
      <c r="D398" s="358">
        <f t="shared" si="6"/>
        <v>50.5</v>
      </c>
      <c r="E398" s="222">
        <v>15.07</v>
      </c>
      <c r="F398" s="183"/>
      <c r="G398" s="182"/>
      <c r="H398" s="158"/>
      <c r="O398" s="185" t="e">
        <f>D398/#REF!</f>
        <v>#REF!</v>
      </c>
      <c r="Q398" s="376">
        <v>50.5</v>
      </c>
    </row>
    <row r="399" spans="1:17" x14ac:dyDescent="0.2">
      <c r="A399" s="138" t="s">
        <v>1101</v>
      </c>
      <c r="B399" s="368" t="s">
        <v>1102</v>
      </c>
      <c r="C399" s="169" t="s">
        <v>184</v>
      </c>
      <c r="D399" s="358">
        <f t="shared" si="6"/>
        <v>877.5</v>
      </c>
      <c r="E399" s="222"/>
      <c r="F399" s="183"/>
      <c r="G399" s="182"/>
      <c r="H399" s="158"/>
      <c r="O399" s="185" t="e">
        <f>D399/#REF!</f>
        <v>#REF!</v>
      </c>
      <c r="Q399" s="376">
        <v>877.5</v>
      </c>
    </row>
    <row r="400" spans="1:17" x14ac:dyDescent="0.2">
      <c r="A400" s="138" t="s">
        <v>1103</v>
      </c>
      <c r="B400" s="137" t="s">
        <v>1104</v>
      </c>
      <c r="C400" s="138" t="s">
        <v>14</v>
      </c>
      <c r="D400" s="358">
        <f t="shared" si="6"/>
        <v>581.86680000000001</v>
      </c>
      <c r="E400" s="222">
        <v>110.68</v>
      </c>
      <c r="F400" s="217"/>
      <c r="G400" s="182"/>
      <c r="H400" s="158" t="s">
        <v>1105</v>
      </c>
      <c r="L400" s="117">
        <v>2</v>
      </c>
      <c r="O400" s="185" t="e">
        <f>D400/#REF!</f>
        <v>#REF!</v>
      </c>
      <c r="Q400" s="376">
        <v>581.86680000000001</v>
      </c>
    </row>
    <row r="401" spans="1:17" x14ac:dyDescent="0.2">
      <c r="A401" s="138" t="s">
        <v>1106</v>
      </c>
      <c r="B401" s="137" t="s">
        <v>1107</v>
      </c>
      <c r="C401" s="138" t="s">
        <v>14</v>
      </c>
      <c r="D401" s="358">
        <f t="shared" si="6"/>
        <v>1140.5</v>
      </c>
      <c r="E401" s="222">
        <v>194.21</v>
      </c>
      <c r="F401" s="183"/>
      <c r="G401" s="182"/>
      <c r="H401" s="158" t="s">
        <v>1105</v>
      </c>
      <c r="L401" s="117">
        <v>1</v>
      </c>
      <c r="O401" s="185" t="e">
        <f>D401/#REF!</f>
        <v>#REF!</v>
      </c>
      <c r="Q401" s="376">
        <v>1140.5</v>
      </c>
    </row>
    <row r="402" spans="1:17" x14ac:dyDescent="0.2">
      <c r="A402" s="138" t="s">
        <v>1108</v>
      </c>
      <c r="B402" s="137" t="s">
        <v>1109</v>
      </c>
      <c r="C402" s="138" t="s">
        <v>184</v>
      </c>
      <c r="D402" s="358">
        <f t="shared" si="6"/>
        <v>26.923300000000001</v>
      </c>
      <c r="E402" s="222">
        <v>6.96</v>
      </c>
      <c r="F402" s="183"/>
      <c r="G402" s="182"/>
      <c r="H402" s="158"/>
      <c r="L402" s="117">
        <v>2</v>
      </c>
      <c r="O402" s="185" t="e">
        <f>D402/#REF!</f>
        <v>#REF!</v>
      </c>
      <c r="Q402" s="376">
        <v>26.923300000000001</v>
      </c>
    </row>
    <row r="403" spans="1:17" x14ac:dyDescent="0.2">
      <c r="A403" s="138" t="s">
        <v>1110</v>
      </c>
      <c r="B403" s="137" t="s">
        <v>1111</v>
      </c>
      <c r="C403" s="138" t="s">
        <v>184</v>
      </c>
      <c r="D403" s="358">
        <f t="shared" si="6"/>
        <v>103.4199</v>
      </c>
      <c r="E403" s="222">
        <v>11.834199999999999</v>
      </c>
      <c r="F403" s="183"/>
      <c r="G403" s="182"/>
      <c r="H403" s="158"/>
      <c r="L403" s="117">
        <v>2</v>
      </c>
      <c r="O403" s="185" t="e">
        <f>D403/#REF!</f>
        <v>#REF!</v>
      </c>
      <c r="Q403" s="376">
        <v>103.4199</v>
      </c>
    </row>
    <row r="404" spans="1:17" x14ac:dyDescent="0.2">
      <c r="A404" s="138" t="s">
        <v>1112</v>
      </c>
      <c r="B404" s="165" t="s">
        <v>1113</v>
      </c>
      <c r="C404" s="169" t="s">
        <v>184</v>
      </c>
      <c r="D404" s="358">
        <f t="shared" si="6"/>
        <v>7.5350000000000001</v>
      </c>
      <c r="E404" s="222">
        <v>0.95</v>
      </c>
      <c r="F404" s="183"/>
      <c r="G404" s="182"/>
      <c r="H404" s="158"/>
      <c r="O404" s="185" t="e">
        <f>D404/#REF!</f>
        <v>#REF!</v>
      </c>
      <c r="Q404" s="376">
        <v>7.5350000000000001</v>
      </c>
    </row>
    <row r="405" spans="1:17" x14ac:dyDescent="0.2">
      <c r="A405" s="138" t="s">
        <v>1114</v>
      </c>
      <c r="B405" s="165" t="s">
        <v>1115</v>
      </c>
      <c r="C405" s="169" t="s">
        <v>184</v>
      </c>
      <c r="D405" s="358">
        <f t="shared" si="6"/>
        <v>9.84</v>
      </c>
      <c r="E405" s="222">
        <v>1.28</v>
      </c>
      <c r="F405" s="183"/>
      <c r="G405" s="182"/>
      <c r="H405" s="158"/>
      <c r="O405" s="185" t="e">
        <f>D405/#REF!</f>
        <v>#REF!</v>
      </c>
      <c r="Q405" s="376">
        <v>9.84</v>
      </c>
    </row>
    <row r="406" spans="1:17" x14ac:dyDescent="0.2">
      <c r="A406" s="138" t="s">
        <v>1116</v>
      </c>
      <c r="B406" s="165" t="s">
        <v>1117</v>
      </c>
      <c r="C406" s="169" t="s">
        <v>184</v>
      </c>
      <c r="D406" s="358">
        <f t="shared" si="6"/>
        <v>5.89</v>
      </c>
      <c r="E406" s="222">
        <v>0.7</v>
      </c>
      <c r="F406" s="183"/>
      <c r="G406" s="182"/>
      <c r="H406" s="158"/>
      <c r="O406" s="185" t="e">
        <f>D406/#REF!</f>
        <v>#REF!</v>
      </c>
      <c r="Q406" s="376">
        <v>5.89</v>
      </c>
    </row>
    <row r="407" spans="1:17" x14ac:dyDescent="0.2">
      <c r="A407" s="138" t="s">
        <v>1118</v>
      </c>
      <c r="B407" s="165" t="s">
        <v>1119</v>
      </c>
      <c r="C407" s="169" t="s">
        <v>184</v>
      </c>
      <c r="D407" s="358">
        <f t="shared" si="6"/>
        <v>7.8</v>
      </c>
      <c r="E407" s="222">
        <v>1.1299999999999999</v>
      </c>
      <c r="F407" s="183"/>
      <c r="G407" s="182"/>
      <c r="H407" s="158"/>
      <c r="O407" s="185" t="e">
        <f>D407/#REF!</f>
        <v>#REF!</v>
      </c>
      <c r="Q407" s="376">
        <v>7.8</v>
      </c>
    </row>
    <row r="408" spans="1:17" x14ac:dyDescent="0.2">
      <c r="A408" s="138" t="s">
        <v>1120</v>
      </c>
      <c r="B408" s="165" t="s">
        <v>1121</v>
      </c>
      <c r="C408" s="169" t="s">
        <v>184</v>
      </c>
      <c r="D408" s="358">
        <f t="shared" si="6"/>
        <v>5.4349999999999996</v>
      </c>
      <c r="E408" s="222">
        <v>0.51</v>
      </c>
      <c r="F408" s="183"/>
      <c r="G408" s="182"/>
      <c r="H408" s="158"/>
      <c r="O408" s="185" t="e">
        <f>D408/#REF!</f>
        <v>#REF!</v>
      </c>
      <c r="Q408" s="376">
        <v>5.4349999999999996</v>
      </c>
    </row>
    <row r="409" spans="1:17" x14ac:dyDescent="0.2">
      <c r="A409" s="366" t="s">
        <v>1122</v>
      </c>
      <c r="B409" s="165" t="s">
        <v>1123</v>
      </c>
      <c r="C409" s="169" t="s">
        <v>184</v>
      </c>
      <c r="D409" s="358">
        <f t="shared" si="6"/>
        <v>5.4349999999999996</v>
      </c>
      <c r="E409" s="192">
        <f>E386</f>
        <v>0.27550000000000002</v>
      </c>
      <c r="F409" s="183"/>
      <c r="G409" s="182"/>
      <c r="H409" s="158"/>
      <c r="O409" s="185" t="e">
        <f>D409/#REF!</f>
        <v>#REF!</v>
      </c>
      <c r="Q409" s="376">
        <v>5.4349999999999996</v>
      </c>
    </row>
    <row r="410" spans="1:17" x14ac:dyDescent="0.2">
      <c r="A410" s="366" t="s">
        <v>1124</v>
      </c>
      <c r="B410" s="165" t="s">
        <v>1125</v>
      </c>
      <c r="C410" s="169" t="s">
        <v>184</v>
      </c>
      <c r="D410" s="358">
        <f t="shared" si="6"/>
        <v>5.4349999999999996</v>
      </c>
      <c r="E410" s="192">
        <f>E387</f>
        <v>0.29370000000000002</v>
      </c>
      <c r="F410" s="183"/>
      <c r="G410" s="182"/>
      <c r="H410" s="158"/>
      <c r="O410" s="185" t="e">
        <f>D410/#REF!</f>
        <v>#REF!</v>
      </c>
      <c r="Q410" s="376">
        <v>5.4349999999999996</v>
      </c>
    </row>
    <row r="411" spans="1:17" x14ac:dyDescent="0.2">
      <c r="A411" s="138" t="s">
        <v>1126</v>
      </c>
      <c r="B411" s="165" t="s">
        <v>1127</v>
      </c>
      <c r="C411" s="169" t="s">
        <v>184</v>
      </c>
      <c r="D411" s="358">
        <f t="shared" si="6"/>
        <v>1.7061999999999999</v>
      </c>
      <c r="E411" s="222">
        <v>0.43</v>
      </c>
      <c r="F411" s="183"/>
      <c r="G411" s="182"/>
      <c r="H411" s="158"/>
      <c r="O411" s="185" t="e">
        <f>D411/#REF!</f>
        <v>#REF!</v>
      </c>
      <c r="Q411" s="376">
        <v>1.7061999999999999</v>
      </c>
    </row>
    <row r="412" spans="1:17" x14ac:dyDescent="0.2">
      <c r="A412" s="138" t="s">
        <v>1128</v>
      </c>
      <c r="B412" s="165" t="s">
        <v>1129</v>
      </c>
      <c r="C412" s="169" t="s">
        <v>184</v>
      </c>
      <c r="D412" s="358">
        <f t="shared" si="6"/>
        <v>2.2363</v>
      </c>
      <c r="E412" s="222">
        <v>0.56999999999999995</v>
      </c>
      <c r="F412" s="183"/>
      <c r="G412" s="182"/>
      <c r="H412" s="158"/>
      <c r="O412" s="185" t="e">
        <f>D412/#REF!</f>
        <v>#REF!</v>
      </c>
      <c r="Q412" s="376">
        <v>2.2363</v>
      </c>
    </row>
    <row r="413" spans="1:17" x14ac:dyDescent="0.2">
      <c r="A413" s="138" t="s">
        <v>1130</v>
      </c>
      <c r="B413" s="165" t="s">
        <v>1131</v>
      </c>
      <c r="C413" s="169" t="s">
        <v>184</v>
      </c>
      <c r="D413" s="358">
        <f t="shared" si="6"/>
        <v>5.3799000000000001</v>
      </c>
      <c r="E413" s="222">
        <v>1.34</v>
      </c>
      <c r="F413" s="183"/>
      <c r="G413" s="182"/>
      <c r="H413" s="158"/>
      <c r="O413" s="185" t="e">
        <f>D413/#REF!</f>
        <v>#REF!</v>
      </c>
      <c r="Q413" s="376">
        <v>5.3799000000000001</v>
      </c>
    </row>
    <row r="414" spans="1:17" x14ac:dyDescent="0.2">
      <c r="A414" s="138" t="s">
        <v>1132</v>
      </c>
      <c r="B414" s="165" t="s">
        <v>1133</v>
      </c>
      <c r="C414" s="169" t="s">
        <v>184</v>
      </c>
      <c r="D414" s="358">
        <f t="shared" si="6"/>
        <v>6.8707000000000003</v>
      </c>
      <c r="E414" s="222">
        <v>1.7</v>
      </c>
      <c r="F414" s="183"/>
      <c r="G414" s="182"/>
      <c r="H414" s="158"/>
      <c r="O414" s="185" t="e">
        <f>D414/#REF!</f>
        <v>#REF!</v>
      </c>
      <c r="Q414" s="376">
        <v>6.8707000000000003</v>
      </c>
    </row>
    <row r="415" spans="1:17" x14ac:dyDescent="0.2">
      <c r="A415" s="138" t="s">
        <v>1134</v>
      </c>
      <c r="B415" s="165" t="s">
        <v>1135</v>
      </c>
      <c r="C415" s="169" t="s">
        <v>184</v>
      </c>
      <c r="D415" s="358">
        <f t="shared" si="6"/>
        <v>6.8707000000000003</v>
      </c>
      <c r="E415" s="192">
        <f>E398</f>
        <v>15.07</v>
      </c>
      <c r="F415" s="183"/>
      <c r="G415" s="182"/>
      <c r="H415" s="158"/>
      <c r="O415" s="185" t="e">
        <f>D415/#REF!</f>
        <v>#REF!</v>
      </c>
      <c r="Q415" s="376">
        <v>6.8707000000000003</v>
      </c>
    </row>
    <row r="416" spans="1:17" x14ac:dyDescent="0.2">
      <c r="A416" s="138" t="s">
        <v>1136</v>
      </c>
      <c r="B416" s="165" t="s">
        <v>1137</v>
      </c>
      <c r="C416" s="169" t="s">
        <v>184</v>
      </c>
      <c r="D416" s="358">
        <f t="shared" si="6"/>
        <v>0.88570000000000004</v>
      </c>
      <c r="E416" s="222">
        <v>0.23</v>
      </c>
      <c r="F416" s="183"/>
      <c r="G416" s="182"/>
      <c r="H416" s="158"/>
      <c r="O416" s="185" t="e">
        <f>D416/#REF!</f>
        <v>#REF!</v>
      </c>
      <c r="Q416" s="376">
        <v>0.88570000000000004</v>
      </c>
    </row>
    <row r="417" spans="1:17" x14ac:dyDescent="0.2">
      <c r="A417" s="138" t="s">
        <v>1138</v>
      </c>
      <c r="B417" s="165" t="s">
        <v>1139</v>
      </c>
      <c r="C417" s="169" t="s">
        <v>184</v>
      </c>
      <c r="D417" s="358">
        <f t="shared" si="6"/>
        <v>1.294</v>
      </c>
      <c r="E417" s="222">
        <v>0.34</v>
      </c>
      <c r="F417" s="183"/>
      <c r="G417" s="182"/>
      <c r="H417" s="158"/>
      <c r="O417" s="185" t="e">
        <f>D417/#REF!</f>
        <v>#REF!</v>
      </c>
      <c r="Q417" s="376">
        <v>1.294</v>
      </c>
    </row>
    <row r="418" spans="1:17" x14ac:dyDescent="0.2">
      <c r="A418" s="138" t="s">
        <v>1140</v>
      </c>
      <c r="B418" s="165" t="s">
        <v>1141</v>
      </c>
      <c r="C418" s="169" t="s">
        <v>184</v>
      </c>
      <c r="D418" s="358">
        <f t="shared" si="6"/>
        <v>20.449000000000002</v>
      </c>
      <c r="E418" s="222">
        <v>4.63</v>
      </c>
      <c r="F418" s="183"/>
      <c r="G418" s="182"/>
      <c r="H418" s="158"/>
      <c r="O418" s="185" t="e">
        <f>D418/#REF!</f>
        <v>#REF!</v>
      </c>
      <c r="Q418" s="376">
        <v>20.449000000000002</v>
      </c>
    </row>
    <row r="419" spans="1:17" x14ac:dyDescent="0.2">
      <c r="A419" s="138" t="s">
        <v>1142</v>
      </c>
      <c r="B419" s="165" t="s">
        <v>1143</v>
      </c>
      <c r="C419" s="169" t="s">
        <v>184</v>
      </c>
      <c r="D419" s="358">
        <f t="shared" si="6"/>
        <v>4.5510000000000002</v>
      </c>
      <c r="E419" s="222">
        <v>1.1399999999999999</v>
      </c>
      <c r="F419" s="183"/>
      <c r="G419" s="182"/>
      <c r="H419" s="158"/>
      <c r="O419" s="185" t="e">
        <f>D419/#REF!</f>
        <v>#REF!</v>
      </c>
      <c r="Q419" s="376">
        <v>4.5510000000000002</v>
      </c>
    </row>
    <row r="420" spans="1:17" x14ac:dyDescent="0.2">
      <c r="A420" s="138" t="s">
        <v>1144</v>
      </c>
      <c r="B420" s="165" t="s">
        <v>1145</v>
      </c>
      <c r="C420" s="169" t="s">
        <v>184</v>
      </c>
      <c r="D420" s="358">
        <f t="shared" si="6"/>
        <v>7.2045000000000003</v>
      </c>
      <c r="E420" s="222">
        <v>1.82</v>
      </c>
      <c r="F420" s="183"/>
      <c r="G420" s="182"/>
      <c r="H420" s="158"/>
      <c r="O420" s="185" t="e">
        <f>D420/#REF!</f>
        <v>#REF!</v>
      </c>
      <c r="Q420" s="376">
        <v>7.2045000000000003</v>
      </c>
    </row>
    <row r="421" spans="1:17" x14ac:dyDescent="0.2">
      <c r="A421" s="138" t="s">
        <v>1146</v>
      </c>
      <c r="B421" s="165" t="s">
        <v>1147</v>
      </c>
      <c r="C421" s="169" t="s">
        <v>184</v>
      </c>
      <c r="D421" s="358">
        <f t="shared" si="6"/>
        <v>8.1553000000000004</v>
      </c>
      <c r="E421" s="222">
        <v>2.04</v>
      </c>
      <c r="F421" s="183"/>
      <c r="G421" s="182"/>
      <c r="H421" s="158"/>
      <c r="O421" s="185" t="e">
        <f>D421/#REF!</f>
        <v>#REF!</v>
      </c>
      <c r="Q421" s="376">
        <v>8.1553000000000004</v>
      </c>
    </row>
    <row r="422" spans="1:17" x14ac:dyDescent="0.2">
      <c r="A422" s="138" t="s">
        <v>1148</v>
      </c>
      <c r="B422" s="165" t="s">
        <v>1149</v>
      </c>
      <c r="C422" s="169" t="s">
        <v>184</v>
      </c>
      <c r="D422" s="358">
        <f t="shared" si="6"/>
        <v>2.1453000000000002</v>
      </c>
      <c r="E422" s="222">
        <v>0.55000000000000004</v>
      </c>
      <c r="F422" s="183"/>
      <c r="G422" s="182"/>
      <c r="H422" s="158"/>
      <c r="O422" s="185" t="e">
        <f>D422/#REF!</f>
        <v>#REF!</v>
      </c>
      <c r="Q422" s="376">
        <v>2.1453000000000002</v>
      </c>
    </row>
    <row r="423" spans="1:17" x14ac:dyDescent="0.2">
      <c r="A423" s="138" t="s">
        <v>1150</v>
      </c>
      <c r="B423" s="165" t="s">
        <v>1151</v>
      </c>
      <c r="C423" s="169" t="s">
        <v>184</v>
      </c>
      <c r="D423" s="358">
        <f t="shared" si="6"/>
        <v>3.4115000000000002</v>
      </c>
      <c r="E423" s="222">
        <v>0.86</v>
      </c>
      <c r="F423" s="183"/>
      <c r="G423" s="182"/>
      <c r="H423" s="158"/>
      <c r="O423" s="185" t="e">
        <f>D423/#REF!</f>
        <v>#REF!</v>
      </c>
      <c r="Q423" s="376">
        <v>3.4115000000000002</v>
      </c>
    </row>
    <row r="424" spans="1:17" x14ac:dyDescent="0.2">
      <c r="A424" s="138" t="s">
        <v>1152</v>
      </c>
      <c r="B424" s="165" t="s">
        <v>1153</v>
      </c>
      <c r="C424" s="169" t="s">
        <v>184</v>
      </c>
      <c r="D424" s="358">
        <f t="shared" si="6"/>
        <v>38.5197</v>
      </c>
      <c r="E424" s="222">
        <v>7.34</v>
      </c>
      <c r="F424" s="183"/>
      <c r="G424" s="182"/>
      <c r="H424" s="158"/>
      <c r="O424" s="185" t="e">
        <f>D424/#REF!</f>
        <v>#REF!</v>
      </c>
      <c r="Q424" s="376">
        <v>38.5197</v>
      </c>
    </row>
    <row r="425" spans="1:17" x14ac:dyDescent="0.2">
      <c r="A425" s="138" t="s">
        <v>1154</v>
      </c>
      <c r="B425" s="165" t="s">
        <v>1155</v>
      </c>
      <c r="C425" s="169" t="s">
        <v>184</v>
      </c>
      <c r="D425" s="358">
        <f t="shared" si="6"/>
        <v>53.580599999999997</v>
      </c>
      <c r="E425" s="222">
        <v>10.14</v>
      </c>
      <c r="F425" s="183"/>
      <c r="G425" s="182"/>
      <c r="H425" s="158"/>
      <c r="O425" s="185" t="e">
        <f>D425/#REF!</f>
        <v>#REF!</v>
      </c>
      <c r="Q425" s="376">
        <v>53.580599999999997</v>
      </c>
    </row>
    <row r="426" spans="1:17" x14ac:dyDescent="0.2">
      <c r="A426" s="366" t="s">
        <v>1156</v>
      </c>
      <c r="B426" s="165" t="s">
        <v>1157</v>
      </c>
      <c r="C426" s="169" t="s">
        <v>184</v>
      </c>
      <c r="D426" s="358">
        <f t="shared" si="6"/>
        <v>53.580599999999997</v>
      </c>
      <c r="E426" s="225">
        <f>E378</f>
        <v>8.17</v>
      </c>
      <c r="F426" s="253"/>
      <c r="G426" s="182"/>
      <c r="H426" s="158"/>
      <c r="O426" s="185" t="e">
        <f>D426/#REF!</f>
        <v>#REF!</v>
      </c>
      <c r="Q426" s="376">
        <v>53.580599999999997</v>
      </c>
    </row>
    <row r="427" spans="1:17" x14ac:dyDescent="0.2">
      <c r="A427" s="366" t="s">
        <v>1097</v>
      </c>
      <c r="B427" s="165" t="s">
        <v>1158</v>
      </c>
      <c r="C427" s="169" t="s">
        <v>184</v>
      </c>
      <c r="D427" s="358">
        <f t="shared" si="6"/>
        <v>70.495900000000006</v>
      </c>
      <c r="E427" s="257">
        <f>E397</f>
        <v>7.58</v>
      </c>
      <c r="F427" s="183"/>
      <c r="G427" s="182"/>
      <c r="H427" s="158"/>
      <c r="O427" s="185" t="e">
        <f>D427/#REF!</f>
        <v>#REF!</v>
      </c>
      <c r="Q427" s="376">
        <v>70.495900000000006</v>
      </c>
    </row>
    <row r="428" spans="1:17" x14ac:dyDescent="0.2">
      <c r="A428" s="366" t="s">
        <v>1159</v>
      </c>
      <c r="B428" s="165" t="s">
        <v>1160</v>
      </c>
      <c r="C428" s="169" t="s">
        <v>184</v>
      </c>
      <c r="D428" s="358">
        <f t="shared" si="6"/>
        <v>53.580599999999997</v>
      </c>
      <c r="E428" s="258">
        <v>7.62</v>
      </c>
      <c r="F428" s="183"/>
      <c r="G428" s="182"/>
      <c r="H428" s="158"/>
      <c r="O428" s="185" t="e">
        <f>D428/#REF!</f>
        <v>#REF!</v>
      </c>
      <c r="Q428" s="376">
        <v>53.580599999999997</v>
      </c>
    </row>
    <row r="429" spans="1:17" x14ac:dyDescent="0.2">
      <c r="A429" s="138" t="s">
        <v>1161</v>
      </c>
      <c r="B429" s="165" t="s">
        <v>1162</v>
      </c>
      <c r="C429" s="169" t="s">
        <v>184</v>
      </c>
      <c r="D429" s="358">
        <f t="shared" si="6"/>
        <v>49.497199999999999</v>
      </c>
      <c r="E429" s="222">
        <v>5.23</v>
      </c>
      <c r="F429" s="183"/>
      <c r="G429" s="182"/>
      <c r="H429" s="158"/>
      <c r="O429" s="185" t="e">
        <f>D429/#REF!</f>
        <v>#REF!</v>
      </c>
      <c r="Q429" s="376">
        <v>49.497199999999999</v>
      </c>
    </row>
    <row r="430" spans="1:17" x14ac:dyDescent="0.2">
      <c r="A430" s="138" t="s">
        <v>1163</v>
      </c>
      <c r="B430" s="165" t="s">
        <v>1164</v>
      </c>
      <c r="C430" s="169" t="s">
        <v>184</v>
      </c>
      <c r="D430" s="358">
        <f t="shared" si="6"/>
        <v>29.281600000000001</v>
      </c>
      <c r="E430" s="222">
        <v>5.83</v>
      </c>
      <c r="F430" s="183"/>
      <c r="G430" s="182"/>
      <c r="H430" s="158"/>
      <c r="O430" s="185" t="e">
        <f>D430/#REF!</f>
        <v>#REF!</v>
      </c>
      <c r="Q430" s="376">
        <v>29.281600000000001</v>
      </c>
    </row>
    <row r="431" spans="1:17" x14ac:dyDescent="0.2">
      <c r="A431" s="138" t="s">
        <v>1165</v>
      </c>
      <c r="B431" s="137" t="s">
        <v>1166</v>
      </c>
      <c r="C431" s="138" t="s">
        <v>14</v>
      </c>
      <c r="D431" s="358">
        <f t="shared" si="6"/>
        <v>31.63</v>
      </c>
      <c r="E431" s="222">
        <v>5.8182</v>
      </c>
      <c r="F431" s="217"/>
      <c r="G431" s="256"/>
      <c r="H431" s="158" t="s">
        <v>1167</v>
      </c>
      <c r="L431" s="117">
        <v>2</v>
      </c>
      <c r="O431" s="185" t="e">
        <f>D431/#REF!</f>
        <v>#REF!</v>
      </c>
      <c r="Q431" s="376">
        <v>31.63</v>
      </c>
    </row>
    <row r="432" spans="1:17" x14ac:dyDescent="0.2">
      <c r="A432" s="138" t="s">
        <v>1168</v>
      </c>
      <c r="B432" s="137" t="s">
        <v>1169</v>
      </c>
      <c r="C432" s="138" t="s">
        <v>14</v>
      </c>
      <c r="D432" s="358">
        <f t="shared" si="6"/>
        <v>52.89</v>
      </c>
      <c r="E432" s="222">
        <v>13.8843</v>
      </c>
      <c r="F432" s="183"/>
      <c r="G432" s="182"/>
      <c r="H432" s="158" t="s">
        <v>1170</v>
      </c>
      <c r="L432" s="117">
        <v>1</v>
      </c>
      <c r="O432" s="185" t="e">
        <f>D432/#REF!</f>
        <v>#REF!</v>
      </c>
      <c r="Q432" s="376">
        <v>52.89</v>
      </c>
    </row>
    <row r="433" spans="1:17" x14ac:dyDescent="0.2">
      <c r="A433" s="138" t="s">
        <v>1171</v>
      </c>
      <c r="B433" s="137" t="s">
        <v>1172</v>
      </c>
      <c r="C433" s="138" t="s">
        <v>14</v>
      </c>
      <c r="D433" s="358">
        <f t="shared" si="6"/>
        <v>78.510000000000005</v>
      </c>
      <c r="E433" s="222">
        <v>15.702500000000001</v>
      </c>
      <c r="F433" s="183"/>
      <c r="G433" s="182"/>
      <c r="H433" s="158" t="s">
        <v>1170</v>
      </c>
      <c r="L433" s="117">
        <v>1</v>
      </c>
      <c r="O433" s="185" t="e">
        <f>D433/#REF!</f>
        <v>#REF!</v>
      </c>
      <c r="Q433" s="376">
        <v>78.510000000000005</v>
      </c>
    </row>
    <row r="434" spans="1:17" x14ac:dyDescent="0.2">
      <c r="A434" s="138" t="s">
        <v>1173</v>
      </c>
      <c r="B434" s="137" t="s">
        <v>1174</v>
      </c>
      <c r="C434" s="138" t="s">
        <v>14</v>
      </c>
      <c r="D434" s="358">
        <f t="shared" si="6"/>
        <v>52.2</v>
      </c>
      <c r="E434" s="222">
        <v>11.23</v>
      </c>
      <c r="F434" s="183"/>
      <c r="G434" s="212"/>
      <c r="H434" s="158" t="s">
        <v>1175</v>
      </c>
      <c r="L434" s="117">
        <v>2</v>
      </c>
      <c r="O434" s="185" t="e">
        <f>D434/#REF!</f>
        <v>#REF!</v>
      </c>
      <c r="Q434" s="376">
        <v>52.2</v>
      </c>
    </row>
    <row r="435" spans="1:17" x14ac:dyDescent="0.2">
      <c r="A435" s="138" t="s">
        <v>1176</v>
      </c>
      <c r="B435" s="137" t="s">
        <v>1177</v>
      </c>
      <c r="C435" s="138" t="s">
        <v>14</v>
      </c>
      <c r="D435" s="358">
        <f t="shared" si="6"/>
        <v>54.382399999999997</v>
      </c>
      <c r="E435" s="222">
        <v>11.2</v>
      </c>
      <c r="F435" s="217"/>
      <c r="G435" s="212"/>
      <c r="H435" s="218" t="s">
        <v>1175</v>
      </c>
      <c r="L435" s="117">
        <v>2</v>
      </c>
      <c r="O435" s="185" t="e">
        <f>D435/#REF!</f>
        <v>#REF!</v>
      </c>
      <c r="Q435" s="376">
        <v>54.382399999999997</v>
      </c>
    </row>
    <row r="436" spans="1:17" x14ac:dyDescent="0.2">
      <c r="A436" s="138" t="s">
        <v>1178</v>
      </c>
      <c r="B436" s="137" t="s">
        <v>1179</v>
      </c>
      <c r="C436" s="138" t="s">
        <v>184</v>
      </c>
      <c r="D436" s="358">
        <f t="shared" si="6"/>
        <v>5.72</v>
      </c>
      <c r="E436" s="187">
        <v>0.62</v>
      </c>
      <c r="F436" s="183"/>
      <c r="G436" s="182"/>
      <c r="H436" s="158" t="s">
        <v>365</v>
      </c>
      <c r="L436" s="117">
        <v>1</v>
      </c>
      <c r="O436" s="185" t="e">
        <f>D436/#REF!</f>
        <v>#REF!</v>
      </c>
      <c r="Q436" s="376">
        <v>5.72</v>
      </c>
    </row>
    <row r="437" spans="1:17" x14ac:dyDescent="0.2">
      <c r="A437" s="138" t="s">
        <v>1180</v>
      </c>
      <c r="B437" s="137" t="s">
        <v>1181</v>
      </c>
      <c r="C437" s="138" t="s">
        <v>184</v>
      </c>
      <c r="D437" s="358">
        <f t="shared" si="6"/>
        <v>5.9824000000000002</v>
      </c>
      <c r="E437" s="187">
        <v>0.79</v>
      </c>
      <c r="F437" s="183"/>
      <c r="G437" s="182"/>
      <c r="H437" s="158" t="s">
        <v>365</v>
      </c>
      <c r="L437" s="117">
        <v>1</v>
      </c>
      <c r="O437" s="185" t="e">
        <f>D437/#REF!</f>
        <v>#REF!</v>
      </c>
      <c r="Q437" s="376">
        <v>5.9824000000000002</v>
      </c>
    </row>
    <row r="438" spans="1:17" x14ac:dyDescent="0.2">
      <c r="A438" s="138" t="s">
        <v>1182</v>
      </c>
      <c r="B438" s="137" t="s">
        <v>1183</v>
      </c>
      <c r="C438" s="138" t="s">
        <v>14</v>
      </c>
      <c r="D438" s="358">
        <f t="shared" si="6"/>
        <v>121.91670000000001</v>
      </c>
      <c r="E438" s="187">
        <v>32.154299999999999</v>
      </c>
      <c r="F438" s="183"/>
      <c r="G438" s="182"/>
      <c r="H438" s="158" t="s">
        <v>1184</v>
      </c>
      <c r="L438" s="117">
        <v>3</v>
      </c>
      <c r="O438" s="185" t="e">
        <f>D438/#REF!</f>
        <v>#REF!</v>
      </c>
      <c r="Q438" s="376">
        <v>121.91670000000001</v>
      </c>
    </row>
    <row r="439" spans="1:17" x14ac:dyDescent="0.2">
      <c r="A439" s="138" t="s">
        <v>1185</v>
      </c>
      <c r="B439" s="137" t="s">
        <v>1186</v>
      </c>
      <c r="C439" s="138" t="s">
        <v>14</v>
      </c>
      <c r="D439" s="358">
        <f t="shared" si="6"/>
        <v>178.29</v>
      </c>
      <c r="E439" s="187">
        <v>44.697000000000003</v>
      </c>
      <c r="F439" s="217"/>
      <c r="G439" s="182"/>
      <c r="H439" s="158"/>
      <c r="L439" s="117">
        <v>3</v>
      </c>
      <c r="O439" s="185" t="e">
        <f>D439/#REF!</f>
        <v>#REF!</v>
      </c>
      <c r="Q439" s="376">
        <v>178.29</v>
      </c>
    </row>
    <row r="440" spans="1:17" x14ac:dyDescent="0.2">
      <c r="A440" s="138" t="s">
        <v>1187</v>
      </c>
      <c r="B440" s="137" t="s">
        <v>1188</v>
      </c>
      <c r="C440" s="138" t="s">
        <v>14</v>
      </c>
      <c r="D440" s="358">
        <f t="shared" si="6"/>
        <v>101.97669999999999</v>
      </c>
      <c r="E440" s="187">
        <v>23.7438</v>
      </c>
      <c r="F440" s="183"/>
      <c r="G440" s="182"/>
      <c r="H440" s="158"/>
      <c r="L440" s="117">
        <v>3</v>
      </c>
      <c r="O440" s="185" t="e">
        <f>D440/#REF!</f>
        <v>#REF!</v>
      </c>
      <c r="Q440" s="376">
        <v>101.97669999999999</v>
      </c>
    </row>
    <row r="441" spans="1:17" ht="15.75" thickBot="1" x14ac:dyDescent="0.25">
      <c r="A441" s="138" t="s">
        <v>1189</v>
      </c>
      <c r="B441" s="137" t="s">
        <v>1190</v>
      </c>
      <c r="C441" s="138" t="s">
        <v>14</v>
      </c>
      <c r="D441" s="358">
        <f t="shared" si="6"/>
        <v>107.4</v>
      </c>
      <c r="E441" s="259">
        <v>39.130000000000003</v>
      </c>
      <c r="F441" s="260"/>
      <c r="G441" s="261"/>
      <c r="H441" s="158"/>
      <c r="L441" s="117">
        <v>3</v>
      </c>
      <c r="O441" s="185" t="e">
        <f>D441/#REF!</f>
        <v>#REF!</v>
      </c>
      <c r="Q441" s="376">
        <v>107.4</v>
      </c>
    </row>
    <row r="442" spans="1:17" ht="15" customHeight="1" x14ac:dyDescent="0.2">
      <c r="E442" s="262">
        <v>39.132199999999997</v>
      </c>
      <c r="L442" s="117">
        <f>SUM(L6:L441)</f>
        <v>456</v>
      </c>
      <c r="O442" s="117" t="e">
        <f>D526/#REF!</f>
        <v>#REF!</v>
      </c>
    </row>
    <row r="444" spans="1:17" x14ac:dyDescent="0.2">
      <c r="D444" s="354"/>
    </row>
    <row r="445" spans="1:17" x14ac:dyDescent="0.2">
      <c r="D445" s="354"/>
    </row>
    <row r="446" spans="1:17" s="124" customFormat="1" ht="15.75" x14ac:dyDescent="0.25">
      <c r="A446" s="537" t="s">
        <v>1191</v>
      </c>
      <c r="B446" s="537"/>
      <c r="C446" s="537"/>
      <c r="D446" s="537"/>
      <c r="E446" s="264"/>
      <c r="F446" s="265"/>
      <c r="G446" s="266"/>
    </row>
    <row r="447" spans="1:17" x14ac:dyDescent="0.2">
      <c r="A447" s="267"/>
      <c r="B447" s="267"/>
      <c r="C447" s="267"/>
      <c r="D447" s="355"/>
    </row>
    <row r="448" spans="1:17" ht="28.5" x14ac:dyDescent="0.2">
      <c r="A448" s="357" t="s">
        <v>1192</v>
      </c>
      <c r="B448" s="268" t="s">
        <v>1193</v>
      </c>
      <c r="C448" s="269" t="s">
        <v>184</v>
      </c>
      <c r="D448" s="358">
        <f>Q448</f>
        <v>774510</v>
      </c>
      <c r="Q448" s="136">
        <v>774510</v>
      </c>
    </row>
    <row r="449" spans="1:17" ht="28.5" x14ac:dyDescent="0.2">
      <c r="A449" s="357" t="s">
        <v>1194</v>
      </c>
      <c r="B449" s="268" t="s">
        <v>1195</v>
      </c>
      <c r="C449" s="269" t="s">
        <v>184</v>
      </c>
      <c r="D449" s="358">
        <f t="shared" ref="D449:D512" si="7">Q449</f>
        <v>1809537</v>
      </c>
      <c r="Q449" s="136">
        <v>1809537</v>
      </c>
    </row>
    <row r="450" spans="1:17" x14ac:dyDescent="0.2">
      <c r="A450" s="357" t="s">
        <v>1196</v>
      </c>
      <c r="B450" s="268" t="s">
        <v>1197</v>
      </c>
      <c r="C450" s="269" t="s">
        <v>184</v>
      </c>
      <c r="D450" s="358">
        <f t="shared" si="7"/>
        <v>1605348</v>
      </c>
      <c r="Q450" s="136">
        <v>1605348</v>
      </c>
    </row>
    <row r="451" spans="1:17" x14ac:dyDescent="0.2">
      <c r="A451" s="357" t="s">
        <v>1198</v>
      </c>
      <c r="B451" s="268" t="s">
        <v>1199</v>
      </c>
      <c r="C451" s="269" t="s">
        <v>184</v>
      </c>
      <c r="D451" s="358">
        <f t="shared" si="7"/>
        <v>867636.8</v>
      </c>
      <c r="Q451" s="136">
        <v>867636.8</v>
      </c>
    </row>
    <row r="452" spans="1:17" ht="15" customHeight="1" x14ac:dyDescent="0.2">
      <c r="A452" s="357" t="s">
        <v>1200</v>
      </c>
      <c r="B452" s="268" t="s">
        <v>1201</v>
      </c>
      <c r="C452" s="269" t="s">
        <v>184</v>
      </c>
      <c r="D452" s="358">
        <f t="shared" si="7"/>
        <v>4520100</v>
      </c>
      <c r="Q452" s="136">
        <v>4520100</v>
      </c>
    </row>
    <row r="453" spans="1:17" x14ac:dyDescent="0.2">
      <c r="A453" s="357" t="s">
        <v>522</v>
      </c>
      <c r="B453" s="268" t="s">
        <v>1202</v>
      </c>
      <c r="C453" s="269" t="s">
        <v>184</v>
      </c>
      <c r="D453" s="358">
        <f t="shared" si="7"/>
        <v>23967.56</v>
      </c>
      <c r="Q453" s="136">
        <v>23967.56</v>
      </c>
    </row>
    <row r="454" spans="1:17" x14ac:dyDescent="0.2">
      <c r="A454" s="357" t="s">
        <v>525</v>
      </c>
      <c r="B454" s="268" t="s">
        <v>1203</v>
      </c>
      <c r="C454" s="269" t="s">
        <v>184</v>
      </c>
      <c r="D454" s="358">
        <f t="shared" si="7"/>
        <v>5245.55</v>
      </c>
      <c r="Q454" s="136">
        <v>5245.55</v>
      </c>
    </row>
    <row r="455" spans="1:17" ht="28.5" x14ac:dyDescent="0.2">
      <c r="A455" s="357" t="s">
        <v>1204</v>
      </c>
      <c r="B455" s="268" t="s">
        <v>1205</v>
      </c>
      <c r="C455" s="269" t="s">
        <v>184</v>
      </c>
      <c r="D455" s="358">
        <f t="shared" si="7"/>
        <v>17109.63</v>
      </c>
      <c r="Q455" s="136">
        <v>17109.63</v>
      </c>
    </row>
    <row r="456" spans="1:17" x14ac:dyDescent="0.2">
      <c r="A456" s="357" t="s">
        <v>534</v>
      </c>
      <c r="B456" s="268" t="s">
        <v>1206</v>
      </c>
      <c r="C456" s="269" t="s">
        <v>184</v>
      </c>
      <c r="D456" s="358">
        <f t="shared" si="7"/>
        <v>74183.98</v>
      </c>
      <c r="Q456" s="136">
        <v>74183.98</v>
      </c>
    </row>
    <row r="457" spans="1:17" x14ac:dyDescent="0.2">
      <c r="A457" s="359" t="s">
        <v>549</v>
      </c>
      <c r="B457" s="270" t="s">
        <v>1207</v>
      </c>
      <c r="C457" s="271" t="s">
        <v>184</v>
      </c>
      <c r="D457" s="358">
        <f t="shared" si="7"/>
        <v>703395.9</v>
      </c>
      <c r="Q457" s="136">
        <v>703395.9</v>
      </c>
    </row>
    <row r="458" spans="1:17" x14ac:dyDescent="0.2">
      <c r="A458" s="357" t="s">
        <v>552</v>
      </c>
      <c r="B458" s="268" t="s">
        <v>1208</v>
      </c>
      <c r="C458" s="269" t="s">
        <v>184</v>
      </c>
      <c r="D458" s="358">
        <f t="shared" si="7"/>
        <v>17637.71</v>
      </c>
      <c r="Q458" s="136">
        <v>17637.71</v>
      </c>
    </row>
    <row r="459" spans="1:17" x14ac:dyDescent="0.2">
      <c r="A459" s="357" t="s">
        <v>564</v>
      </c>
      <c r="B459" s="268" t="s">
        <v>1209</v>
      </c>
      <c r="C459" s="269" t="s">
        <v>184</v>
      </c>
      <c r="D459" s="358">
        <f t="shared" si="7"/>
        <v>158422.5</v>
      </c>
      <c r="Q459" s="136">
        <v>158422.5</v>
      </c>
    </row>
    <row r="460" spans="1:17" ht="28.5" hidden="1" x14ac:dyDescent="0.2">
      <c r="A460" s="357" t="s">
        <v>1210</v>
      </c>
      <c r="B460" s="268" t="s">
        <v>1211</v>
      </c>
      <c r="C460" s="269" t="s">
        <v>184</v>
      </c>
      <c r="D460" s="358">
        <f t="shared" si="7"/>
        <v>158422.5</v>
      </c>
      <c r="Q460" s="136">
        <v>158422.5</v>
      </c>
    </row>
    <row r="461" spans="1:17" x14ac:dyDescent="0.2">
      <c r="A461" s="357" t="s">
        <v>573</v>
      </c>
      <c r="B461" s="268" t="s">
        <v>1212</v>
      </c>
      <c r="C461" s="269" t="s">
        <v>184</v>
      </c>
      <c r="D461" s="358">
        <f t="shared" si="7"/>
        <v>97000</v>
      </c>
      <c r="Q461" s="136">
        <v>97000</v>
      </c>
    </row>
    <row r="462" spans="1:17" x14ac:dyDescent="0.2">
      <c r="A462" s="357" t="s">
        <v>577</v>
      </c>
      <c r="B462" s="268" t="s">
        <v>1213</v>
      </c>
      <c r="C462" s="269" t="s">
        <v>184</v>
      </c>
      <c r="D462" s="358">
        <f t="shared" si="7"/>
        <v>223850</v>
      </c>
      <c r="Q462" s="136">
        <v>223850</v>
      </c>
    </row>
    <row r="463" spans="1:17" x14ac:dyDescent="0.2">
      <c r="A463" s="357" t="s">
        <v>581</v>
      </c>
      <c r="B463" s="268" t="s">
        <v>6</v>
      </c>
      <c r="C463" s="269" t="s">
        <v>184</v>
      </c>
      <c r="D463" s="358">
        <f t="shared" si="7"/>
        <v>158800</v>
      </c>
      <c r="Q463" s="136">
        <v>158800</v>
      </c>
    </row>
    <row r="464" spans="1:17" x14ac:dyDescent="0.2">
      <c r="A464" s="268" t="s">
        <v>1214</v>
      </c>
      <c r="B464" s="268" t="s">
        <v>1215</v>
      </c>
      <c r="C464" s="269" t="s">
        <v>7</v>
      </c>
      <c r="D464" s="358">
        <f t="shared" si="7"/>
        <v>1513.0165</v>
      </c>
      <c r="Q464" s="136">
        <v>1513.0165</v>
      </c>
    </row>
    <row r="465" spans="1:17" x14ac:dyDescent="0.2">
      <c r="A465" s="268" t="s">
        <v>1216</v>
      </c>
      <c r="B465" s="268" t="s">
        <v>1217</v>
      </c>
      <c r="C465" s="272" t="s">
        <v>184</v>
      </c>
      <c r="D465" s="358">
        <f t="shared" si="7"/>
        <v>2262.44</v>
      </c>
      <c r="Q465" s="136">
        <v>2262.44</v>
      </c>
    </row>
    <row r="466" spans="1:17" x14ac:dyDescent="0.2">
      <c r="A466" s="268" t="s">
        <v>1218</v>
      </c>
      <c r="B466" s="268" t="s">
        <v>1219</v>
      </c>
      <c r="C466" s="272" t="s">
        <v>184</v>
      </c>
      <c r="D466" s="358">
        <f t="shared" si="7"/>
        <v>319.01</v>
      </c>
      <c r="Q466" s="136">
        <v>319.01</v>
      </c>
    </row>
    <row r="467" spans="1:17" x14ac:dyDescent="0.2">
      <c r="A467" s="268" t="s">
        <v>1220</v>
      </c>
      <c r="B467" s="268" t="s">
        <v>1221</v>
      </c>
      <c r="C467" s="272" t="s">
        <v>184</v>
      </c>
      <c r="D467" s="358">
        <f t="shared" si="7"/>
        <v>359.5</v>
      </c>
      <c r="Q467" s="136">
        <v>359.5</v>
      </c>
    </row>
    <row r="468" spans="1:17" x14ac:dyDescent="0.2">
      <c r="A468" s="268" t="s">
        <v>1222</v>
      </c>
      <c r="B468" s="268" t="s">
        <v>1223</v>
      </c>
      <c r="C468" s="272" t="s">
        <v>184</v>
      </c>
      <c r="D468" s="358">
        <f t="shared" si="7"/>
        <v>30.58</v>
      </c>
      <c r="Q468" s="136">
        <v>30.58</v>
      </c>
    </row>
    <row r="469" spans="1:17" x14ac:dyDescent="0.2">
      <c r="A469" s="268" t="s">
        <v>1224</v>
      </c>
      <c r="B469" s="268" t="s">
        <v>1225</v>
      </c>
      <c r="C469" s="272" t="s">
        <v>184</v>
      </c>
      <c r="D469" s="358">
        <f t="shared" si="7"/>
        <v>119.83</v>
      </c>
      <c r="Q469" s="136">
        <v>119.83</v>
      </c>
    </row>
    <row r="470" spans="1:17" x14ac:dyDescent="0.2">
      <c r="A470" s="268" t="s">
        <v>1226</v>
      </c>
      <c r="B470" s="268" t="s">
        <v>1227</v>
      </c>
      <c r="C470" s="272" t="s">
        <v>184</v>
      </c>
      <c r="D470" s="358">
        <f t="shared" si="7"/>
        <v>12.4</v>
      </c>
      <c r="Q470" s="136">
        <v>12.4</v>
      </c>
    </row>
    <row r="471" spans="1:17" x14ac:dyDescent="0.2">
      <c r="A471" s="268" t="s">
        <v>1228</v>
      </c>
      <c r="B471" s="268" t="s">
        <v>1229</v>
      </c>
      <c r="C471" s="272" t="s">
        <v>184</v>
      </c>
      <c r="D471" s="358">
        <f t="shared" si="7"/>
        <v>63.64</v>
      </c>
      <c r="Q471" s="136">
        <v>63.64</v>
      </c>
    </row>
    <row r="472" spans="1:17" x14ac:dyDescent="0.2">
      <c r="A472" s="268" t="s">
        <v>1230</v>
      </c>
      <c r="B472" s="268" t="s">
        <v>1231</v>
      </c>
      <c r="C472" s="272" t="s">
        <v>184</v>
      </c>
      <c r="D472" s="358">
        <f t="shared" si="7"/>
        <v>18.18</v>
      </c>
      <c r="Q472" s="136">
        <v>18.18</v>
      </c>
    </row>
    <row r="473" spans="1:17" x14ac:dyDescent="0.2">
      <c r="A473" s="268" t="s">
        <v>1232</v>
      </c>
      <c r="B473" s="268" t="s">
        <v>1233</v>
      </c>
      <c r="C473" s="272" t="s">
        <v>184</v>
      </c>
      <c r="D473" s="358">
        <f t="shared" si="7"/>
        <v>487.6</v>
      </c>
      <c r="Q473" s="136">
        <v>487.6</v>
      </c>
    </row>
    <row r="474" spans="1:17" x14ac:dyDescent="0.2">
      <c r="A474" s="268" t="s">
        <v>1234</v>
      </c>
      <c r="B474" s="268" t="s">
        <v>1235</v>
      </c>
      <c r="C474" s="272" t="s">
        <v>184</v>
      </c>
      <c r="D474" s="358">
        <f t="shared" si="7"/>
        <v>1567.77</v>
      </c>
      <c r="Q474" s="136">
        <v>1567.77</v>
      </c>
    </row>
    <row r="475" spans="1:17" x14ac:dyDescent="0.2">
      <c r="A475" s="268" t="s">
        <v>1236</v>
      </c>
      <c r="B475" s="268" t="s">
        <v>1237</v>
      </c>
      <c r="C475" s="272" t="s">
        <v>184</v>
      </c>
      <c r="D475" s="358">
        <f t="shared" si="7"/>
        <v>2629.75</v>
      </c>
      <c r="Q475" s="136">
        <v>2629.75</v>
      </c>
    </row>
    <row r="476" spans="1:17" hidden="1" x14ac:dyDescent="0.2">
      <c r="A476" s="268" t="s">
        <v>401</v>
      </c>
      <c r="B476" s="273" t="s">
        <v>402</v>
      </c>
      <c r="C476" s="274" t="s">
        <v>7</v>
      </c>
      <c r="D476" s="358">
        <f t="shared" si="7"/>
        <v>2.5828000000000002</v>
      </c>
      <c r="Q476" s="136">
        <v>2.5828000000000002</v>
      </c>
    </row>
    <row r="477" spans="1:17" hidden="1" x14ac:dyDescent="0.2">
      <c r="A477" s="268" t="s">
        <v>405</v>
      </c>
      <c r="B477" s="273" t="s">
        <v>1238</v>
      </c>
      <c r="C477" s="274" t="s">
        <v>184</v>
      </c>
      <c r="D477" s="358">
        <f t="shared" si="7"/>
        <v>64.473299999999995</v>
      </c>
      <c r="Q477" s="136">
        <v>64.473299999999995</v>
      </c>
    </row>
    <row r="478" spans="1:17" hidden="1" x14ac:dyDescent="0.2">
      <c r="A478" s="268" t="s">
        <v>1239</v>
      </c>
      <c r="B478" s="273" t="s">
        <v>1240</v>
      </c>
      <c r="C478" s="274" t="s">
        <v>184</v>
      </c>
      <c r="D478" s="358">
        <f t="shared" si="7"/>
        <v>123.92</v>
      </c>
      <c r="Q478" s="136">
        <v>123.92</v>
      </c>
    </row>
    <row r="479" spans="1:17" hidden="1" x14ac:dyDescent="0.2">
      <c r="A479" s="268" t="s">
        <v>408</v>
      </c>
      <c r="B479" s="273" t="s">
        <v>409</v>
      </c>
      <c r="C479" s="274" t="s">
        <v>7</v>
      </c>
      <c r="D479" s="358">
        <f t="shared" si="7"/>
        <v>6.6714000000000002</v>
      </c>
      <c r="Q479" s="136">
        <v>6.6714000000000002</v>
      </c>
    </row>
    <row r="480" spans="1:17" hidden="1" x14ac:dyDescent="0.2">
      <c r="A480" s="268" t="s">
        <v>410</v>
      </c>
      <c r="B480" s="273" t="s">
        <v>1241</v>
      </c>
      <c r="C480" s="274" t="s">
        <v>7</v>
      </c>
      <c r="D480" s="358">
        <f t="shared" si="7"/>
        <v>3.6947000000000001</v>
      </c>
      <c r="Q480" s="136">
        <v>3.6947000000000001</v>
      </c>
    </row>
    <row r="481" spans="1:17" hidden="1" x14ac:dyDescent="0.2">
      <c r="A481" s="268" t="s">
        <v>413</v>
      </c>
      <c r="B481" s="273" t="s">
        <v>1242</v>
      </c>
      <c r="C481" s="274" t="s">
        <v>7</v>
      </c>
      <c r="D481" s="358">
        <f t="shared" si="7"/>
        <v>18.188099999999999</v>
      </c>
      <c r="Q481" s="136">
        <v>18.188099999999999</v>
      </c>
    </row>
    <row r="482" spans="1:17" hidden="1" x14ac:dyDescent="0.2">
      <c r="A482" s="268" t="s">
        <v>1243</v>
      </c>
      <c r="B482" s="273" t="s">
        <v>1244</v>
      </c>
      <c r="C482" s="274" t="s">
        <v>7</v>
      </c>
      <c r="D482" s="358">
        <f t="shared" si="7"/>
        <v>36.530500000000004</v>
      </c>
      <c r="Q482" s="136">
        <v>36.530500000000004</v>
      </c>
    </row>
    <row r="483" spans="1:17" hidden="1" x14ac:dyDescent="0.2">
      <c r="A483" s="268" t="s">
        <v>415</v>
      </c>
      <c r="B483" s="273" t="s">
        <v>1245</v>
      </c>
      <c r="C483" s="274" t="s">
        <v>7</v>
      </c>
      <c r="D483" s="358">
        <f t="shared" si="7"/>
        <v>2.4603999999999999</v>
      </c>
      <c r="Q483" s="136">
        <v>2.4603999999999999</v>
      </c>
    </row>
    <row r="484" spans="1:17" hidden="1" x14ac:dyDescent="0.2">
      <c r="A484" s="268" t="s">
        <v>417</v>
      </c>
      <c r="B484" s="273" t="s">
        <v>418</v>
      </c>
      <c r="C484" s="274" t="s">
        <v>184</v>
      </c>
      <c r="D484" s="358">
        <f t="shared" si="7"/>
        <v>3.2565</v>
      </c>
      <c r="Q484" s="136">
        <v>3.2565</v>
      </c>
    </row>
    <row r="485" spans="1:17" hidden="1" x14ac:dyDescent="0.2">
      <c r="A485" s="268" t="s">
        <v>419</v>
      </c>
      <c r="B485" s="273" t="s">
        <v>420</v>
      </c>
      <c r="C485" s="274" t="s">
        <v>184</v>
      </c>
      <c r="D485" s="358">
        <f t="shared" si="7"/>
        <v>1.6902999999999999</v>
      </c>
      <c r="Q485" s="136">
        <v>1.6902999999999999</v>
      </c>
    </row>
    <row r="486" spans="1:17" hidden="1" x14ac:dyDescent="0.2">
      <c r="A486" s="268" t="s">
        <v>421</v>
      </c>
      <c r="B486" s="273" t="s">
        <v>422</v>
      </c>
      <c r="C486" s="274" t="s">
        <v>184</v>
      </c>
      <c r="D486" s="358">
        <f t="shared" si="7"/>
        <v>6.6534000000000004</v>
      </c>
      <c r="Q486" s="136">
        <v>6.6534000000000004</v>
      </c>
    </row>
    <row r="487" spans="1:17" hidden="1" x14ac:dyDescent="0.2">
      <c r="A487" s="268" t="s">
        <v>423</v>
      </c>
      <c r="B487" s="273" t="s">
        <v>1246</v>
      </c>
      <c r="C487" s="274" t="s">
        <v>184</v>
      </c>
      <c r="D487" s="358">
        <f t="shared" si="7"/>
        <v>3.3982000000000001</v>
      </c>
      <c r="Q487" s="136">
        <v>3.3982000000000001</v>
      </c>
    </row>
    <row r="488" spans="1:17" hidden="1" x14ac:dyDescent="0.2">
      <c r="A488" s="268" t="s">
        <v>1247</v>
      </c>
      <c r="B488" s="273" t="s">
        <v>1248</v>
      </c>
      <c r="C488" s="274" t="s">
        <v>184</v>
      </c>
      <c r="D488" s="358">
        <f t="shared" si="7"/>
        <v>32.79</v>
      </c>
      <c r="Q488" s="136">
        <v>32.79</v>
      </c>
    </row>
    <row r="489" spans="1:17" hidden="1" x14ac:dyDescent="0.2">
      <c r="A489" s="268" t="s">
        <v>1249</v>
      </c>
      <c r="B489" s="273" t="s">
        <v>1250</v>
      </c>
      <c r="C489" s="274" t="s">
        <v>184</v>
      </c>
      <c r="D489" s="358">
        <f t="shared" si="7"/>
        <v>43.3</v>
      </c>
      <c r="Q489" s="136">
        <v>43.3</v>
      </c>
    </row>
    <row r="490" spans="1:17" hidden="1" x14ac:dyDescent="0.2">
      <c r="A490" s="268" t="s">
        <v>1251</v>
      </c>
      <c r="B490" s="273" t="s">
        <v>1252</v>
      </c>
      <c r="C490" s="274" t="s">
        <v>184</v>
      </c>
      <c r="D490" s="358">
        <f t="shared" si="7"/>
        <v>23.907900000000001</v>
      </c>
      <c r="Q490" s="136">
        <v>23.907900000000001</v>
      </c>
    </row>
    <row r="491" spans="1:17" hidden="1" x14ac:dyDescent="0.2">
      <c r="A491" s="268" t="s">
        <v>425</v>
      </c>
      <c r="B491" s="273" t="s">
        <v>1253</v>
      </c>
      <c r="C491" s="274" t="s">
        <v>184</v>
      </c>
      <c r="D491" s="358">
        <f t="shared" si="7"/>
        <v>28.033300000000001</v>
      </c>
      <c r="Q491" s="136">
        <v>28.033300000000001</v>
      </c>
    </row>
    <row r="492" spans="1:17" hidden="1" x14ac:dyDescent="0.2">
      <c r="A492" s="268" t="s">
        <v>427</v>
      </c>
      <c r="B492" s="273" t="s">
        <v>428</v>
      </c>
      <c r="C492" s="274" t="s">
        <v>184</v>
      </c>
      <c r="D492" s="358">
        <f t="shared" si="7"/>
        <v>35.1188</v>
      </c>
      <c r="Q492" s="136">
        <v>35.1188</v>
      </c>
    </row>
    <row r="493" spans="1:17" hidden="1" x14ac:dyDescent="0.2">
      <c r="A493" s="268" t="s">
        <v>1254</v>
      </c>
      <c r="B493" s="273" t="s">
        <v>1255</v>
      </c>
      <c r="C493" s="274" t="s">
        <v>184</v>
      </c>
      <c r="D493" s="358">
        <f t="shared" si="7"/>
        <v>4.7748999999999997</v>
      </c>
      <c r="Q493" s="136">
        <v>4.7748999999999997</v>
      </c>
    </row>
    <row r="494" spans="1:17" hidden="1" x14ac:dyDescent="0.2">
      <c r="A494" s="268" t="s">
        <v>1256</v>
      </c>
      <c r="B494" s="273" t="s">
        <v>1257</v>
      </c>
      <c r="C494" s="274" t="s">
        <v>184</v>
      </c>
      <c r="D494" s="358">
        <f t="shared" si="7"/>
        <v>4.1295000000000002</v>
      </c>
      <c r="Q494" s="136">
        <v>4.1295000000000002</v>
      </c>
    </row>
    <row r="495" spans="1:17" hidden="1" x14ac:dyDescent="0.2">
      <c r="A495" s="268" t="s">
        <v>1258</v>
      </c>
      <c r="B495" s="273" t="s">
        <v>1259</v>
      </c>
      <c r="C495" s="274" t="s">
        <v>7</v>
      </c>
      <c r="D495" s="358">
        <f t="shared" si="7"/>
        <v>1.7615000000000001</v>
      </c>
      <c r="Q495" s="136">
        <v>1.7615000000000001</v>
      </c>
    </row>
    <row r="496" spans="1:17" hidden="1" x14ac:dyDescent="0.2">
      <c r="A496" s="268" t="s">
        <v>429</v>
      </c>
      <c r="B496" s="273" t="s">
        <v>1260</v>
      </c>
      <c r="C496" s="274" t="s">
        <v>184</v>
      </c>
      <c r="D496" s="358">
        <f t="shared" si="7"/>
        <v>31.601800000000001</v>
      </c>
      <c r="Q496" s="136">
        <v>31.601800000000001</v>
      </c>
    </row>
    <row r="497" spans="1:17" hidden="1" x14ac:dyDescent="0.2">
      <c r="A497" s="268" t="s">
        <v>1261</v>
      </c>
      <c r="B497" s="273" t="s">
        <v>1262</v>
      </c>
      <c r="C497" s="274" t="s">
        <v>184</v>
      </c>
      <c r="D497" s="358">
        <f t="shared" si="7"/>
        <v>65.430000000000007</v>
      </c>
      <c r="Q497" s="136">
        <v>65.430000000000007</v>
      </c>
    </row>
    <row r="498" spans="1:17" hidden="1" x14ac:dyDescent="0.2">
      <c r="A498" s="268" t="s">
        <v>1263</v>
      </c>
      <c r="B498" s="273" t="s">
        <v>1264</v>
      </c>
      <c r="C498" s="274" t="s">
        <v>184</v>
      </c>
      <c r="D498" s="358">
        <f t="shared" si="7"/>
        <v>289.87459999999999</v>
      </c>
      <c r="Q498" s="136">
        <v>289.87459999999999</v>
      </c>
    </row>
    <row r="499" spans="1:17" hidden="1" x14ac:dyDescent="0.2">
      <c r="A499" s="268" t="s">
        <v>1265</v>
      </c>
      <c r="B499" s="273" t="s">
        <v>1266</v>
      </c>
      <c r="C499" s="274" t="s">
        <v>184</v>
      </c>
      <c r="D499" s="358">
        <f t="shared" si="7"/>
        <v>93.914699999999996</v>
      </c>
      <c r="Q499" s="136">
        <v>93.914699999999996</v>
      </c>
    </row>
    <row r="500" spans="1:17" hidden="1" x14ac:dyDescent="0.2">
      <c r="A500" s="268" t="s">
        <v>1267</v>
      </c>
      <c r="B500" s="273" t="s">
        <v>1268</v>
      </c>
      <c r="C500" s="274" t="s">
        <v>184</v>
      </c>
      <c r="D500" s="358">
        <f t="shared" si="7"/>
        <v>308.6388</v>
      </c>
      <c r="Q500" s="136">
        <v>308.6388</v>
      </c>
    </row>
    <row r="501" spans="1:17" hidden="1" x14ac:dyDescent="0.2">
      <c r="A501" s="268" t="s">
        <v>1269</v>
      </c>
      <c r="B501" s="273" t="s">
        <v>1270</v>
      </c>
      <c r="C501" s="274" t="s">
        <v>184</v>
      </c>
      <c r="D501" s="358">
        <f t="shared" si="7"/>
        <v>532.88649999999996</v>
      </c>
      <c r="Q501" s="136">
        <v>532.88649999999996</v>
      </c>
    </row>
    <row r="502" spans="1:17" hidden="1" x14ac:dyDescent="0.2">
      <c r="A502" s="268" t="s">
        <v>1271</v>
      </c>
      <c r="B502" s="273" t="s">
        <v>1272</v>
      </c>
      <c r="C502" s="274" t="s">
        <v>184</v>
      </c>
      <c r="D502" s="358">
        <f t="shared" si="7"/>
        <v>20.610700000000001</v>
      </c>
      <c r="Q502" s="136">
        <v>20.610700000000001</v>
      </c>
    </row>
    <row r="503" spans="1:17" hidden="1" x14ac:dyDescent="0.2">
      <c r="A503" s="268" t="s">
        <v>431</v>
      </c>
      <c r="B503" s="273" t="s">
        <v>1273</v>
      </c>
      <c r="C503" s="274" t="s">
        <v>184</v>
      </c>
      <c r="D503" s="358">
        <f t="shared" si="7"/>
        <v>20.02</v>
      </c>
      <c r="Q503" s="136">
        <v>20.02</v>
      </c>
    </row>
    <row r="504" spans="1:17" hidden="1" x14ac:dyDescent="0.2">
      <c r="A504" s="268" t="s">
        <v>1274</v>
      </c>
      <c r="B504" s="273" t="s">
        <v>1275</v>
      </c>
      <c r="C504" s="274" t="s">
        <v>184</v>
      </c>
      <c r="D504" s="358">
        <f t="shared" si="7"/>
        <v>24.383099999999999</v>
      </c>
      <c r="Q504" s="136">
        <v>24.383099999999999</v>
      </c>
    </row>
    <row r="505" spans="1:17" hidden="1" x14ac:dyDescent="0.2">
      <c r="A505" s="268" t="s">
        <v>1276</v>
      </c>
      <c r="B505" s="273" t="s">
        <v>1277</v>
      </c>
      <c r="C505" s="274" t="s">
        <v>184</v>
      </c>
      <c r="D505" s="358">
        <f t="shared" si="7"/>
        <v>306.2122</v>
      </c>
      <c r="Q505" s="136">
        <v>306.2122</v>
      </c>
    </row>
    <row r="506" spans="1:17" hidden="1" x14ac:dyDescent="0.2">
      <c r="A506" s="268" t="s">
        <v>1278</v>
      </c>
      <c r="B506" s="273" t="s">
        <v>1279</v>
      </c>
      <c r="C506" s="274" t="s">
        <v>184</v>
      </c>
      <c r="D506" s="358">
        <f t="shared" si="7"/>
        <v>381.61680000000001</v>
      </c>
      <c r="Q506" s="136">
        <v>381.61680000000001</v>
      </c>
    </row>
    <row r="507" spans="1:17" hidden="1" x14ac:dyDescent="0.2">
      <c r="A507" s="268" t="s">
        <v>1280</v>
      </c>
      <c r="B507" s="273" t="s">
        <v>1281</v>
      </c>
      <c r="C507" s="274" t="s">
        <v>184</v>
      </c>
      <c r="D507" s="358">
        <f t="shared" si="7"/>
        <v>70.658299999999997</v>
      </c>
      <c r="Q507" s="136">
        <v>70.658299999999997</v>
      </c>
    </row>
    <row r="508" spans="1:17" hidden="1" x14ac:dyDescent="0.2">
      <c r="A508" s="268" t="s">
        <v>1282</v>
      </c>
      <c r="B508" s="273" t="s">
        <v>1283</v>
      </c>
      <c r="C508" s="274" t="s">
        <v>184</v>
      </c>
      <c r="D508" s="358">
        <f t="shared" si="7"/>
        <v>153.21</v>
      </c>
      <c r="Q508" s="136">
        <v>153.21</v>
      </c>
    </row>
    <row r="509" spans="1:17" hidden="1" x14ac:dyDescent="0.2">
      <c r="A509" s="268" t="s">
        <v>1284</v>
      </c>
      <c r="B509" s="273" t="s">
        <v>1285</v>
      </c>
      <c r="C509" s="274" t="s">
        <v>184</v>
      </c>
      <c r="D509" s="358">
        <f t="shared" si="7"/>
        <v>136.52269999999999</v>
      </c>
      <c r="Q509" s="136">
        <v>136.52269999999999</v>
      </c>
    </row>
    <row r="510" spans="1:17" hidden="1" x14ac:dyDescent="0.2">
      <c r="A510" s="268" t="s">
        <v>1286</v>
      </c>
      <c r="B510" s="273" t="s">
        <v>1287</v>
      </c>
      <c r="C510" s="274" t="s">
        <v>184</v>
      </c>
      <c r="D510" s="358">
        <f t="shared" si="7"/>
        <v>22.035</v>
      </c>
      <c r="Q510" s="136">
        <v>22.035</v>
      </c>
    </row>
    <row r="511" spans="1:17" hidden="1" x14ac:dyDescent="0.2">
      <c r="A511" s="268" t="s">
        <v>433</v>
      </c>
      <c r="B511" s="273" t="s">
        <v>1288</v>
      </c>
      <c r="C511" s="274" t="s">
        <v>184</v>
      </c>
      <c r="D511" s="358">
        <f t="shared" si="7"/>
        <v>15970.59</v>
      </c>
      <c r="Q511" s="136">
        <v>15970.59</v>
      </c>
    </row>
    <row r="512" spans="1:17" hidden="1" x14ac:dyDescent="0.2">
      <c r="A512" s="268" t="s">
        <v>1289</v>
      </c>
      <c r="B512" s="273" t="s">
        <v>1290</v>
      </c>
      <c r="C512" s="274" t="s">
        <v>184</v>
      </c>
      <c r="D512" s="358">
        <f t="shared" si="7"/>
        <v>9.1353000000000009</v>
      </c>
      <c r="Q512" s="136">
        <v>9.1353000000000009</v>
      </c>
    </row>
    <row r="513" spans="1:17" hidden="1" x14ac:dyDescent="0.2">
      <c r="A513" s="268" t="s">
        <v>435</v>
      </c>
      <c r="B513" s="273" t="s">
        <v>436</v>
      </c>
      <c r="C513" s="274" t="s">
        <v>184</v>
      </c>
      <c r="D513" s="358">
        <f t="shared" ref="D513:D576" si="8">Q513</f>
        <v>72.058599999999998</v>
      </c>
      <c r="Q513" s="136">
        <v>72.058599999999998</v>
      </c>
    </row>
    <row r="514" spans="1:17" ht="24" hidden="1" x14ac:dyDescent="0.2">
      <c r="A514" s="268" t="s">
        <v>437</v>
      </c>
      <c r="B514" s="273" t="s">
        <v>1291</v>
      </c>
      <c r="C514" s="274" t="s">
        <v>184</v>
      </c>
      <c r="D514" s="358">
        <f t="shared" si="8"/>
        <v>160.8733</v>
      </c>
      <c r="Q514" s="136">
        <v>160.8733</v>
      </c>
    </row>
    <row r="515" spans="1:17" hidden="1" x14ac:dyDescent="0.2">
      <c r="A515" s="268" t="s">
        <v>445</v>
      </c>
      <c r="B515" s="273" t="s">
        <v>446</v>
      </c>
      <c r="C515" s="274" t="s">
        <v>184</v>
      </c>
      <c r="D515" s="358">
        <f t="shared" si="8"/>
        <v>3.4540000000000002</v>
      </c>
      <c r="Q515" s="136">
        <v>3.4540000000000002</v>
      </c>
    </row>
    <row r="516" spans="1:17" hidden="1" x14ac:dyDescent="0.2">
      <c r="A516" s="268" t="s">
        <v>1292</v>
      </c>
      <c r="B516" s="273" t="s">
        <v>1293</v>
      </c>
      <c r="C516" s="274" t="s">
        <v>184</v>
      </c>
      <c r="D516" s="358">
        <f t="shared" si="8"/>
        <v>11.22</v>
      </c>
      <c r="Q516" s="136">
        <v>11.22</v>
      </c>
    </row>
    <row r="517" spans="1:17" hidden="1" x14ac:dyDescent="0.2">
      <c r="A517" s="268" t="s">
        <v>455</v>
      </c>
      <c r="B517" s="273" t="s">
        <v>456</v>
      </c>
      <c r="C517" s="274" t="s">
        <v>184</v>
      </c>
      <c r="D517" s="358">
        <f t="shared" si="8"/>
        <v>1.93</v>
      </c>
      <c r="Q517" s="136">
        <v>1.93</v>
      </c>
    </row>
    <row r="518" spans="1:17" hidden="1" x14ac:dyDescent="0.2">
      <c r="A518" s="268" t="s">
        <v>457</v>
      </c>
      <c r="B518" s="273" t="s">
        <v>1294</v>
      </c>
      <c r="C518" s="274" t="s">
        <v>184</v>
      </c>
      <c r="D518" s="358">
        <f t="shared" si="8"/>
        <v>6.6352000000000002</v>
      </c>
      <c r="Q518" s="136">
        <v>6.6352000000000002</v>
      </c>
    </row>
    <row r="519" spans="1:17" hidden="1" x14ac:dyDescent="0.2">
      <c r="A519" s="268" t="s">
        <v>459</v>
      </c>
      <c r="B519" s="273" t="s">
        <v>460</v>
      </c>
      <c r="C519" s="274" t="s">
        <v>184</v>
      </c>
      <c r="D519" s="358">
        <f t="shared" si="8"/>
        <v>10.2568</v>
      </c>
      <c r="Q519" s="136">
        <v>10.2568</v>
      </c>
    </row>
    <row r="520" spans="1:17" hidden="1" x14ac:dyDescent="0.2">
      <c r="A520" s="268" t="s">
        <v>463</v>
      </c>
      <c r="B520" s="273" t="s">
        <v>464</v>
      </c>
      <c r="C520" s="274" t="s">
        <v>184</v>
      </c>
      <c r="D520" s="358">
        <f t="shared" si="8"/>
        <v>1.405</v>
      </c>
      <c r="Q520" s="136">
        <v>1.405</v>
      </c>
    </row>
    <row r="521" spans="1:17" hidden="1" x14ac:dyDescent="0.2">
      <c r="A521" s="268" t="s">
        <v>467</v>
      </c>
      <c r="B521" s="273" t="s">
        <v>468</v>
      </c>
      <c r="C521" s="274" t="s">
        <v>184</v>
      </c>
      <c r="D521" s="358">
        <f t="shared" si="8"/>
        <v>9.6102000000000007</v>
      </c>
      <c r="Q521" s="136">
        <v>9.6102000000000007</v>
      </c>
    </row>
    <row r="522" spans="1:17" hidden="1" x14ac:dyDescent="0.2">
      <c r="A522" s="268" t="s">
        <v>1295</v>
      </c>
      <c r="B522" s="273" t="s">
        <v>1296</v>
      </c>
      <c r="C522" s="274" t="s">
        <v>184</v>
      </c>
      <c r="D522" s="358">
        <f t="shared" si="8"/>
        <v>3.6596000000000002</v>
      </c>
      <c r="Q522" s="136">
        <v>3.6596000000000002</v>
      </c>
    </row>
    <row r="523" spans="1:17" x14ac:dyDescent="0.2">
      <c r="A523" s="268" t="s">
        <v>1297</v>
      </c>
      <c r="B523" s="275" t="s">
        <v>1298</v>
      </c>
      <c r="C523" s="276" t="s">
        <v>184</v>
      </c>
      <c r="D523" s="358">
        <f t="shared" si="8"/>
        <v>443583</v>
      </c>
      <c r="E523" s="356" t="s">
        <v>184</v>
      </c>
      <c r="F523" s="277" t="s">
        <v>1297</v>
      </c>
      <c r="Q523" s="136">
        <v>443583</v>
      </c>
    </row>
    <row r="524" spans="1:17" x14ac:dyDescent="0.2">
      <c r="A524" s="268" t="s">
        <v>1299</v>
      </c>
      <c r="B524" s="275" t="s">
        <v>1300</v>
      </c>
      <c r="C524" s="276" t="s">
        <v>184</v>
      </c>
      <c r="D524" s="358">
        <f t="shared" si="8"/>
        <v>577362</v>
      </c>
      <c r="E524" s="356" t="s">
        <v>184</v>
      </c>
      <c r="F524" s="277" t="s">
        <v>1299</v>
      </c>
      <c r="Q524" s="136">
        <v>577362</v>
      </c>
    </row>
    <row r="525" spans="1:17" x14ac:dyDescent="0.2">
      <c r="A525" s="268" t="s">
        <v>1301</v>
      </c>
      <c r="B525" s="275" t="s">
        <v>1302</v>
      </c>
      <c r="C525" s="276" t="s">
        <v>184</v>
      </c>
      <c r="D525" s="358">
        <f t="shared" si="8"/>
        <v>461185.5</v>
      </c>
      <c r="E525" s="356" t="s">
        <v>184</v>
      </c>
      <c r="F525" s="277" t="s">
        <v>1301</v>
      </c>
      <c r="Q525" s="136">
        <v>461185.5</v>
      </c>
    </row>
    <row r="526" spans="1:17" x14ac:dyDescent="0.2">
      <c r="A526" s="278" t="s">
        <v>1303</v>
      </c>
      <c r="B526" s="279" t="s">
        <v>1304</v>
      </c>
      <c r="C526" s="138" t="s">
        <v>184</v>
      </c>
      <c r="D526" s="358">
        <f t="shared" si="8"/>
        <v>1933.0676000000001</v>
      </c>
      <c r="Q526" s="136">
        <v>1933.0676000000001</v>
      </c>
    </row>
    <row r="527" spans="1:17" x14ac:dyDescent="0.2">
      <c r="A527" s="278" t="s">
        <v>1305</v>
      </c>
      <c r="B527" s="279" t="s">
        <v>1306</v>
      </c>
      <c r="C527" s="138" t="s">
        <v>184</v>
      </c>
      <c r="D527" s="358">
        <f t="shared" si="8"/>
        <v>2190.8395999999998</v>
      </c>
      <c r="Q527" s="136">
        <v>2190.8395999999998</v>
      </c>
    </row>
    <row r="528" spans="1:17" ht="24" x14ac:dyDescent="0.2">
      <c r="A528" s="280" t="s">
        <v>1307</v>
      </c>
      <c r="B528" s="281" t="s">
        <v>1308</v>
      </c>
      <c r="C528" s="282" t="s">
        <v>7</v>
      </c>
      <c r="D528" s="358">
        <f t="shared" si="8"/>
        <v>2792.4897999999998</v>
      </c>
      <c r="E528" s="117"/>
      <c r="Q528" s="136">
        <v>2792.4897999999998</v>
      </c>
    </row>
    <row r="529" spans="1:17" ht="24" x14ac:dyDescent="0.2">
      <c r="A529" s="280" t="s">
        <v>1309</v>
      </c>
      <c r="B529" s="281" t="s">
        <v>1310</v>
      </c>
      <c r="C529" s="282" t="s">
        <v>7</v>
      </c>
      <c r="D529" s="358">
        <f t="shared" si="8"/>
        <v>3583.3872999999999</v>
      </c>
      <c r="E529" s="117"/>
      <c r="Q529" s="136">
        <v>3583.3872999999999</v>
      </c>
    </row>
    <row r="530" spans="1:17" ht="24" x14ac:dyDescent="0.2">
      <c r="A530" s="280" t="s">
        <v>1311</v>
      </c>
      <c r="B530" s="281" t="s">
        <v>1312</v>
      </c>
      <c r="C530" s="282" t="s">
        <v>7</v>
      </c>
      <c r="D530" s="358">
        <f t="shared" si="8"/>
        <v>3719.7615000000001</v>
      </c>
      <c r="E530" s="117"/>
      <c r="Q530" s="136">
        <v>3719.7615000000001</v>
      </c>
    </row>
    <row r="531" spans="1:17" x14ac:dyDescent="0.2">
      <c r="A531" s="360" t="s">
        <v>1313</v>
      </c>
      <c r="B531" s="361" t="s">
        <v>1314</v>
      </c>
      <c r="C531" s="362" t="s">
        <v>7</v>
      </c>
      <c r="D531" s="358">
        <f t="shared" si="8"/>
        <v>1392.7452000000001</v>
      </c>
      <c r="Q531" s="136">
        <v>1392.7452000000001</v>
      </c>
    </row>
    <row r="532" spans="1:17" x14ac:dyDescent="0.2">
      <c r="A532" s="283" t="s">
        <v>1315</v>
      </c>
      <c r="B532" s="283" t="s">
        <v>1316</v>
      </c>
      <c r="C532" s="284" t="s">
        <v>16</v>
      </c>
      <c r="D532" s="358">
        <f t="shared" si="8"/>
        <v>9.4832999999999998</v>
      </c>
      <c r="Q532" s="136">
        <v>9.4832999999999998</v>
      </c>
    </row>
    <row r="533" spans="1:17" x14ac:dyDescent="0.2">
      <c r="A533" s="283" t="s">
        <v>1317</v>
      </c>
      <c r="B533" s="283" t="s">
        <v>1318</v>
      </c>
      <c r="C533" s="284" t="s">
        <v>16</v>
      </c>
      <c r="D533" s="358">
        <f t="shared" si="8"/>
        <v>8.86</v>
      </c>
      <c r="Q533" s="136">
        <v>8.86</v>
      </c>
    </row>
    <row r="534" spans="1:17" x14ac:dyDescent="0.2">
      <c r="A534" s="283" t="s">
        <v>1319</v>
      </c>
      <c r="B534" s="283" t="s">
        <v>1320</v>
      </c>
      <c r="C534" s="284" t="s">
        <v>16</v>
      </c>
      <c r="D534" s="358">
        <f t="shared" si="8"/>
        <v>9.3267000000000007</v>
      </c>
      <c r="Q534" s="136">
        <v>9.3267000000000007</v>
      </c>
    </row>
    <row r="535" spans="1:17" x14ac:dyDescent="0.2">
      <c r="A535" s="283" t="s">
        <v>1321</v>
      </c>
      <c r="B535" s="283" t="s">
        <v>1322</v>
      </c>
      <c r="C535" s="284" t="s">
        <v>16</v>
      </c>
      <c r="D535" s="358">
        <f t="shared" si="8"/>
        <v>9.0431000000000008</v>
      </c>
      <c r="Q535" s="136">
        <v>9.0431000000000008</v>
      </c>
    </row>
    <row r="536" spans="1:17" x14ac:dyDescent="0.2">
      <c r="A536" s="283" t="s">
        <v>1323</v>
      </c>
      <c r="B536" s="283" t="s">
        <v>1324</v>
      </c>
      <c r="C536" s="284" t="s">
        <v>16</v>
      </c>
      <c r="D536" s="358">
        <f t="shared" si="8"/>
        <v>8.7312999999999992</v>
      </c>
      <c r="Q536" s="136">
        <v>8.7312999999999992</v>
      </c>
    </row>
    <row r="537" spans="1:17" x14ac:dyDescent="0.2">
      <c r="A537" s="283" t="s">
        <v>1325</v>
      </c>
      <c r="B537" s="283" t="s">
        <v>1326</v>
      </c>
      <c r="C537" s="284" t="s">
        <v>16</v>
      </c>
      <c r="D537" s="358">
        <f t="shared" si="8"/>
        <v>8.9499999999999993</v>
      </c>
      <c r="Q537" s="136">
        <v>8.9499999999999993</v>
      </c>
    </row>
    <row r="538" spans="1:17" x14ac:dyDescent="0.2">
      <c r="A538" s="283" t="s">
        <v>1327</v>
      </c>
      <c r="B538" s="283" t="s">
        <v>1328</v>
      </c>
      <c r="C538" s="284" t="s">
        <v>16</v>
      </c>
      <c r="D538" s="358">
        <f t="shared" si="8"/>
        <v>27.811</v>
      </c>
      <c r="Q538" s="136">
        <v>27.811</v>
      </c>
    </row>
    <row r="539" spans="1:17" x14ac:dyDescent="0.2">
      <c r="A539" s="283" t="s">
        <v>1329</v>
      </c>
      <c r="B539" s="283" t="s">
        <v>1330</v>
      </c>
      <c r="C539" s="284" t="s">
        <v>16</v>
      </c>
      <c r="D539" s="358">
        <f t="shared" si="8"/>
        <v>13.9933</v>
      </c>
      <c r="Q539" s="136">
        <v>13.9933</v>
      </c>
    </row>
    <row r="540" spans="1:17" x14ac:dyDescent="0.2">
      <c r="A540" s="283" t="s">
        <v>1331</v>
      </c>
      <c r="B540" s="283" t="s">
        <v>1332</v>
      </c>
      <c r="C540" s="284" t="s">
        <v>16</v>
      </c>
      <c r="D540" s="358">
        <f t="shared" si="8"/>
        <v>24.954999999999998</v>
      </c>
      <c r="Q540" s="136">
        <v>24.954999999999998</v>
      </c>
    </row>
    <row r="541" spans="1:17" x14ac:dyDescent="0.2">
      <c r="A541" s="283" t="s">
        <v>1333</v>
      </c>
      <c r="B541" s="283" t="s">
        <v>1334</v>
      </c>
      <c r="C541" s="284" t="s">
        <v>16</v>
      </c>
      <c r="D541" s="358">
        <f t="shared" si="8"/>
        <v>11.1867</v>
      </c>
      <c r="Q541" s="136">
        <v>11.1867</v>
      </c>
    </row>
    <row r="542" spans="1:17" x14ac:dyDescent="0.2">
      <c r="A542" s="283" t="s">
        <v>1335</v>
      </c>
      <c r="B542" s="283" t="s">
        <v>1336</v>
      </c>
      <c r="C542" s="284" t="s">
        <v>16</v>
      </c>
      <c r="D542" s="358">
        <f t="shared" si="8"/>
        <v>16.533100000000001</v>
      </c>
      <c r="Q542" s="136">
        <v>16.533100000000001</v>
      </c>
    </row>
    <row r="543" spans="1:17" x14ac:dyDescent="0.2">
      <c r="A543" s="283" t="s">
        <v>1337</v>
      </c>
      <c r="B543" s="283" t="s">
        <v>1338</v>
      </c>
      <c r="C543" s="284" t="s">
        <v>7</v>
      </c>
      <c r="D543" s="358">
        <f t="shared" si="8"/>
        <v>51.512500000000003</v>
      </c>
      <c r="Q543" s="136">
        <v>51.512500000000003</v>
      </c>
    </row>
    <row r="544" spans="1:17" x14ac:dyDescent="0.2">
      <c r="A544" s="283" t="s">
        <v>1339</v>
      </c>
      <c r="B544" s="283" t="s">
        <v>1340</v>
      </c>
      <c r="C544" s="284" t="s">
        <v>184</v>
      </c>
      <c r="D544" s="358">
        <f t="shared" si="8"/>
        <v>0.96</v>
      </c>
      <c r="Q544" s="136">
        <v>0.96</v>
      </c>
    </row>
    <row r="545" spans="1:17" x14ac:dyDescent="0.2">
      <c r="A545" s="283" t="s">
        <v>1341</v>
      </c>
      <c r="B545" s="283" t="s">
        <v>1342</v>
      </c>
      <c r="C545" s="284" t="s">
        <v>16</v>
      </c>
      <c r="D545" s="358">
        <f t="shared" si="8"/>
        <v>8.2966999999999995</v>
      </c>
      <c r="Q545" s="136">
        <v>8.2966999999999995</v>
      </c>
    </row>
    <row r="546" spans="1:17" x14ac:dyDescent="0.2">
      <c r="A546" s="283" t="s">
        <v>1343</v>
      </c>
      <c r="B546" s="283" t="s">
        <v>1344</v>
      </c>
      <c r="C546" s="284" t="s">
        <v>16</v>
      </c>
      <c r="D546" s="358">
        <f t="shared" si="8"/>
        <v>9.0966000000000005</v>
      </c>
      <c r="Q546" s="136">
        <v>9.0966000000000005</v>
      </c>
    </row>
    <row r="547" spans="1:17" x14ac:dyDescent="0.2">
      <c r="A547" s="283" t="s">
        <v>1345</v>
      </c>
      <c r="B547" s="283" t="s">
        <v>1346</v>
      </c>
      <c r="C547" s="284" t="s">
        <v>1347</v>
      </c>
      <c r="D547" s="358">
        <f t="shared" si="8"/>
        <v>24.433299999999999</v>
      </c>
      <c r="Q547" s="136">
        <v>24.433299999999999</v>
      </c>
    </row>
    <row r="548" spans="1:17" x14ac:dyDescent="0.2">
      <c r="A548" s="283" t="s">
        <v>1348</v>
      </c>
      <c r="B548" s="283" t="s">
        <v>1349</v>
      </c>
      <c r="C548" s="284" t="s">
        <v>1347</v>
      </c>
      <c r="D548" s="358">
        <f t="shared" si="8"/>
        <v>42.923299999999998</v>
      </c>
      <c r="Q548" s="136">
        <v>42.923299999999998</v>
      </c>
    </row>
    <row r="549" spans="1:17" x14ac:dyDescent="0.2">
      <c r="A549" s="283" t="s">
        <v>1350</v>
      </c>
      <c r="B549" s="283" t="s">
        <v>1351</v>
      </c>
      <c r="C549" s="284" t="s">
        <v>1347</v>
      </c>
      <c r="D549" s="358">
        <f t="shared" si="8"/>
        <v>97.393299999999996</v>
      </c>
      <c r="Q549" s="136">
        <v>97.393299999999996</v>
      </c>
    </row>
    <row r="550" spans="1:17" x14ac:dyDescent="0.2">
      <c r="A550" s="283" t="s">
        <v>1352</v>
      </c>
      <c r="B550" s="283" t="s">
        <v>1353</v>
      </c>
      <c r="C550" s="284" t="s">
        <v>1347</v>
      </c>
      <c r="D550" s="358">
        <f t="shared" si="8"/>
        <v>169.06</v>
      </c>
      <c r="Q550" s="136">
        <v>169.06</v>
      </c>
    </row>
    <row r="551" spans="1:17" x14ac:dyDescent="0.2">
      <c r="A551" s="283" t="s">
        <v>1354</v>
      </c>
      <c r="B551" s="283" t="s">
        <v>1355</v>
      </c>
      <c r="C551" s="284" t="s">
        <v>16</v>
      </c>
      <c r="D551" s="358">
        <f t="shared" si="8"/>
        <v>77.400300000000001</v>
      </c>
      <c r="Q551" s="136">
        <v>77.400300000000001</v>
      </c>
    </row>
    <row r="552" spans="1:17" x14ac:dyDescent="0.2">
      <c r="A552" s="283" t="s">
        <v>1356</v>
      </c>
      <c r="B552" s="283" t="s">
        <v>1357</v>
      </c>
      <c r="C552" s="284" t="s">
        <v>16</v>
      </c>
      <c r="D552" s="358">
        <f t="shared" si="8"/>
        <v>42.271000000000001</v>
      </c>
      <c r="Q552" s="136">
        <v>42.271000000000001</v>
      </c>
    </row>
    <row r="553" spans="1:17" x14ac:dyDescent="0.2">
      <c r="A553" s="283" t="s">
        <v>1358</v>
      </c>
      <c r="B553" s="283" t="s">
        <v>1359</v>
      </c>
      <c r="C553" s="284" t="s">
        <v>7</v>
      </c>
      <c r="D553" s="358">
        <f t="shared" si="8"/>
        <v>8.5150000000000006</v>
      </c>
      <c r="Q553" s="136">
        <v>8.5150000000000006</v>
      </c>
    </row>
    <row r="554" spans="1:17" x14ac:dyDescent="0.2">
      <c r="A554" s="283" t="s">
        <v>1360</v>
      </c>
      <c r="B554" s="283" t="s">
        <v>1361</v>
      </c>
      <c r="C554" s="284" t="s">
        <v>7</v>
      </c>
      <c r="D554" s="358">
        <f t="shared" si="8"/>
        <v>13.955</v>
      </c>
      <c r="Q554" s="136">
        <v>13.955</v>
      </c>
    </row>
    <row r="555" spans="1:17" x14ac:dyDescent="0.2">
      <c r="A555" s="283" t="s">
        <v>1362</v>
      </c>
      <c r="B555" s="283" t="s">
        <v>1363</v>
      </c>
      <c r="C555" s="284" t="s">
        <v>7</v>
      </c>
      <c r="D555" s="358">
        <f t="shared" si="8"/>
        <v>5.0750000000000002</v>
      </c>
      <c r="Q555" s="136">
        <v>5.0750000000000002</v>
      </c>
    </row>
    <row r="556" spans="1:17" x14ac:dyDescent="0.2">
      <c r="A556" s="283" t="s">
        <v>1364</v>
      </c>
      <c r="B556" s="283" t="s">
        <v>1365</v>
      </c>
      <c r="C556" s="284" t="s">
        <v>184</v>
      </c>
      <c r="D556" s="358">
        <f t="shared" si="8"/>
        <v>3.1505000000000001</v>
      </c>
      <c r="Q556" s="136">
        <v>3.1505000000000001</v>
      </c>
    </row>
    <row r="557" spans="1:17" x14ac:dyDescent="0.2">
      <c r="A557" s="283" t="s">
        <v>1366</v>
      </c>
      <c r="B557" s="283" t="s">
        <v>1367</v>
      </c>
      <c r="C557" s="284" t="s">
        <v>7</v>
      </c>
      <c r="D557" s="358">
        <f t="shared" si="8"/>
        <v>32.184600000000003</v>
      </c>
      <c r="Q557" s="136">
        <v>32.184600000000003</v>
      </c>
    </row>
    <row r="558" spans="1:17" x14ac:dyDescent="0.2">
      <c r="A558" s="283" t="s">
        <v>1368</v>
      </c>
      <c r="B558" s="283" t="s">
        <v>1369</v>
      </c>
      <c r="C558" s="284" t="s">
        <v>7</v>
      </c>
      <c r="D558" s="358">
        <f t="shared" si="8"/>
        <v>9.39</v>
      </c>
      <c r="Q558" s="136">
        <v>9.39</v>
      </c>
    </row>
    <row r="559" spans="1:17" x14ac:dyDescent="0.2">
      <c r="A559" s="283" t="s">
        <v>1370</v>
      </c>
      <c r="B559" s="283" t="s">
        <v>1371</v>
      </c>
      <c r="C559" s="284" t="s">
        <v>7</v>
      </c>
      <c r="D559" s="358">
        <f t="shared" si="8"/>
        <v>31.074999999999999</v>
      </c>
      <c r="Q559" s="136">
        <v>31.074999999999999</v>
      </c>
    </row>
    <row r="560" spans="1:17" x14ac:dyDescent="0.2">
      <c r="A560" s="283" t="s">
        <v>1372</v>
      </c>
      <c r="B560" s="283" t="s">
        <v>1373</v>
      </c>
      <c r="C560" s="284" t="s">
        <v>7</v>
      </c>
      <c r="D560" s="358">
        <f t="shared" si="8"/>
        <v>22.855</v>
      </c>
      <c r="Q560" s="136">
        <v>22.855</v>
      </c>
    </row>
    <row r="561" spans="1:17" x14ac:dyDescent="0.2">
      <c r="A561" s="283" t="s">
        <v>1374</v>
      </c>
      <c r="B561" s="283" t="s">
        <v>1375</v>
      </c>
      <c r="C561" s="284" t="s">
        <v>7</v>
      </c>
      <c r="D561" s="358">
        <f t="shared" si="8"/>
        <v>5.0732999999999997</v>
      </c>
      <c r="Q561" s="136">
        <v>5.0732999999999997</v>
      </c>
    </row>
    <row r="562" spans="1:17" x14ac:dyDescent="0.2">
      <c r="A562" s="283" t="s">
        <v>1376</v>
      </c>
      <c r="B562" s="283" t="s">
        <v>1377</v>
      </c>
      <c r="C562" s="284" t="s">
        <v>7</v>
      </c>
      <c r="D562" s="358">
        <f t="shared" si="8"/>
        <v>7.8067000000000002</v>
      </c>
      <c r="Q562" s="136">
        <v>7.8067000000000002</v>
      </c>
    </row>
    <row r="563" spans="1:17" x14ac:dyDescent="0.2">
      <c r="A563" s="283" t="s">
        <v>1378</v>
      </c>
      <c r="B563" s="283" t="s">
        <v>1379</v>
      </c>
      <c r="C563" s="284" t="s">
        <v>7</v>
      </c>
      <c r="D563" s="358">
        <f t="shared" si="8"/>
        <v>6.2066999999999997</v>
      </c>
      <c r="Q563" s="136">
        <v>6.2066999999999997</v>
      </c>
    </row>
    <row r="564" spans="1:17" x14ac:dyDescent="0.2">
      <c r="A564" s="283" t="s">
        <v>1380</v>
      </c>
      <c r="B564" s="283" t="s">
        <v>1381</v>
      </c>
      <c r="C564" s="284" t="s">
        <v>7</v>
      </c>
      <c r="D564" s="358">
        <f t="shared" si="8"/>
        <v>12.77</v>
      </c>
      <c r="Q564" s="136">
        <v>12.77</v>
      </c>
    </row>
    <row r="565" spans="1:17" x14ac:dyDescent="0.2">
      <c r="A565" s="283" t="s">
        <v>1382</v>
      </c>
      <c r="B565" s="283" t="s">
        <v>1383</v>
      </c>
      <c r="C565" s="284" t="s">
        <v>184</v>
      </c>
      <c r="D565" s="358">
        <f t="shared" si="8"/>
        <v>22.127800000000001</v>
      </c>
      <c r="Q565" s="136">
        <v>22.127800000000001</v>
      </c>
    </row>
    <row r="566" spans="1:17" x14ac:dyDescent="0.2">
      <c r="A566" s="283" t="s">
        <v>1384</v>
      </c>
      <c r="B566" s="283" t="s">
        <v>1385</v>
      </c>
      <c r="C566" s="284" t="s">
        <v>184</v>
      </c>
      <c r="D566" s="358">
        <f t="shared" si="8"/>
        <v>13.535</v>
      </c>
      <c r="Q566" s="136">
        <v>13.535</v>
      </c>
    </row>
    <row r="567" spans="1:17" x14ac:dyDescent="0.2">
      <c r="A567" s="283" t="s">
        <v>1386</v>
      </c>
      <c r="B567" s="283" t="s">
        <v>1387</v>
      </c>
      <c r="C567" s="284" t="s">
        <v>14</v>
      </c>
      <c r="D567" s="358">
        <f t="shared" si="8"/>
        <v>10.316700000000001</v>
      </c>
      <c r="Q567" s="136">
        <v>10.316700000000001</v>
      </c>
    </row>
    <row r="568" spans="1:17" ht="16.5" customHeight="1" x14ac:dyDescent="0.2">
      <c r="A568" s="283" t="s">
        <v>299</v>
      </c>
      <c r="B568" s="283" t="s">
        <v>308</v>
      </c>
      <c r="C568" s="284" t="s">
        <v>184</v>
      </c>
      <c r="D568" s="358">
        <f t="shared" si="8"/>
        <v>8.7440999999999995</v>
      </c>
      <c r="Q568" s="136">
        <v>8.7440999999999995</v>
      </c>
    </row>
    <row r="569" spans="1:17" x14ac:dyDescent="0.2">
      <c r="A569" s="283" t="s">
        <v>1388</v>
      </c>
      <c r="B569" s="283" t="s">
        <v>1389</v>
      </c>
      <c r="C569" s="284" t="s">
        <v>14</v>
      </c>
      <c r="D569" s="358">
        <f t="shared" si="8"/>
        <v>30.24</v>
      </c>
      <c r="Q569" s="136">
        <v>30.24</v>
      </c>
    </row>
    <row r="570" spans="1:17" hidden="1" x14ac:dyDescent="0.2">
      <c r="A570" s="283" t="s">
        <v>311</v>
      </c>
      <c r="B570" s="283" t="s">
        <v>1390</v>
      </c>
      <c r="C570" s="284" t="s">
        <v>301</v>
      </c>
      <c r="D570" s="358">
        <f t="shared" si="8"/>
        <v>30.24</v>
      </c>
      <c r="Q570" s="136">
        <v>30.24</v>
      </c>
    </row>
    <row r="571" spans="1:17" x14ac:dyDescent="0.2">
      <c r="A571" s="283" t="s">
        <v>1391</v>
      </c>
      <c r="B571" s="283" t="s">
        <v>1392</v>
      </c>
      <c r="C571" s="284" t="s">
        <v>301</v>
      </c>
      <c r="D571" s="358">
        <f t="shared" si="8"/>
        <v>5.8733000000000004</v>
      </c>
      <c r="Q571" s="136">
        <v>5.8733000000000004</v>
      </c>
    </row>
    <row r="572" spans="1:17" x14ac:dyDescent="0.2">
      <c r="A572" s="283" t="s">
        <v>1393</v>
      </c>
      <c r="B572" s="283" t="s">
        <v>1394</v>
      </c>
      <c r="C572" s="284" t="s">
        <v>14</v>
      </c>
      <c r="D572" s="358">
        <f t="shared" si="8"/>
        <v>27.999300000000002</v>
      </c>
      <c r="Q572" s="136">
        <v>27.999300000000002</v>
      </c>
    </row>
    <row r="573" spans="1:17" x14ac:dyDescent="0.2">
      <c r="A573" s="283" t="s">
        <v>317</v>
      </c>
      <c r="B573" s="283" t="s">
        <v>1395</v>
      </c>
      <c r="C573" s="284" t="s">
        <v>14</v>
      </c>
      <c r="D573" s="358">
        <f t="shared" si="8"/>
        <v>18.518999999999998</v>
      </c>
      <c r="Q573" s="136">
        <v>18.518999999999998</v>
      </c>
    </row>
    <row r="574" spans="1:17" x14ac:dyDescent="0.2">
      <c r="A574" s="283" t="s">
        <v>1396</v>
      </c>
      <c r="B574" s="283" t="s">
        <v>326</v>
      </c>
      <c r="C574" s="284" t="s">
        <v>16</v>
      </c>
      <c r="D574" s="358">
        <f t="shared" si="8"/>
        <v>5.08</v>
      </c>
      <c r="Q574" s="136">
        <v>5.08</v>
      </c>
    </row>
    <row r="575" spans="1:17" ht="14.25" customHeight="1" x14ac:dyDescent="0.2">
      <c r="A575" s="283" t="s">
        <v>1397</v>
      </c>
      <c r="B575" s="285" t="s">
        <v>1398</v>
      </c>
      <c r="C575" s="284" t="s">
        <v>14</v>
      </c>
      <c r="D575" s="358">
        <f t="shared" si="8"/>
        <v>27.81</v>
      </c>
      <c r="Q575" s="136">
        <v>27.81</v>
      </c>
    </row>
    <row r="576" spans="1:17" x14ac:dyDescent="0.2">
      <c r="A576" s="283" t="s">
        <v>1399</v>
      </c>
      <c r="B576" s="283" t="s">
        <v>1400</v>
      </c>
      <c r="C576" s="284" t="s">
        <v>14</v>
      </c>
      <c r="D576" s="358">
        <f t="shared" si="8"/>
        <v>5.8893000000000004</v>
      </c>
      <c r="Q576" s="136">
        <v>5.8893000000000004</v>
      </c>
    </row>
    <row r="577" spans="1:17" x14ac:dyDescent="0.2">
      <c r="A577" s="283" t="s">
        <v>1401</v>
      </c>
      <c r="B577" s="283" t="s">
        <v>1402</v>
      </c>
      <c r="C577" s="284" t="s">
        <v>184</v>
      </c>
      <c r="D577" s="358">
        <f t="shared" ref="D577:D640" si="9">Q577</f>
        <v>24.089600000000001</v>
      </c>
      <c r="Q577" s="136">
        <v>24.089600000000001</v>
      </c>
    </row>
    <row r="578" spans="1:17" x14ac:dyDescent="0.2">
      <c r="A578" s="283" t="s">
        <v>1403</v>
      </c>
      <c r="B578" s="283" t="s">
        <v>1404</v>
      </c>
      <c r="C578" s="284" t="s">
        <v>184</v>
      </c>
      <c r="D578" s="358">
        <f t="shared" si="9"/>
        <v>163.13460000000001</v>
      </c>
      <c r="Q578" s="136">
        <v>163.13460000000001</v>
      </c>
    </row>
    <row r="579" spans="1:17" x14ac:dyDescent="0.2">
      <c r="A579" s="283" t="s">
        <v>1405</v>
      </c>
      <c r="B579" s="283" t="s">
        <v>1406</v>
      </c>
      <c r="C579" s="284" t="s">
        <v>9</v>
      </c>
      <c r="D579" s="358">
        <f t="shared" si="9"/>
        <v>128.85319999999999</v>
      </c>
      <c r="Q579" s="136">
        <v>128.85319999999999</v>
      </c>
    </row>
    <row r="580" spans="1:17" x14ac:dyDescent="0.2">
      <c r="A580" s="283" t="s">
        <v>1407</v>
      </c>
      <c r="B580" s="283" t="s">
        <v>1408</v>
      </c>
      <c r="C580" s="284" t="s">
        <v>9</v>
      </c>
      <c r="D580" s="358">
        <f t="shared" si="9"/>
        <v>132.11429999999999</v>
      </c>
      <c r="Q580" s="136">
        <v>132.11429999999999</v>
      </c>
    </row>
    <row r="581" spans="1:17" x14ac:dyDescent="0.2">
      <c r="A581" s="283" t="s">
        <v>1409</v>
      </c>
      <c r="B581" s="283" t="s">
        <v>1410</v>
      </c>
      <c r="C581" s="284" t="s">
        <v>14</v>
      </c>
      <c r="D581" s="358">
        <f t="shared" si="9"/>
        <v>46.5944</v>
      </c>
      <c r="Q581" s="136">
        <v>46.5944</v>
      </c>
    </row>
    <row r="582" spans="1:17" x14ac:dyDescent="0.2">
      <c r="A582" s="283" t="s">
        <v>1411</v>
      </c>
      <c r="B582" s="283" t="s">
        <v>1412</v>
      </c>
      <c r="C582" s="284" t="s">
        <v>184</v>
      </c>
      <c r="D582" s="358">
        <f t="shared" si="9"/>
        <v>6.61</v>
      </c>
      <c r="Q582" s="136">
        <v>6.61</v>
      </c>
    </row>
    <row r="583" spans="1:17" x14ac:dyDescent="0.2">
      <c r="A583" s="283" t="s">
        <v>1413</v>
      </c>
      <c r="B583" s="283" t="s">
        <v>1414</v>
      </c>
      <c r="C583" s="284" t="s">
        <v>7</v>
      </c>
      <c r="D583" s="358">
        <f t="shared" si="9"/>
        <v>28.774999999999999</v>
      </c>
      <c r="Q583" s="136">
        <v>28.774999999999999</v>
      </c>
    </row>
    <row r="584" spans="1:17" x14ac:dyDescent="0.2">
      <c r="A584" s="283" t="s">
        <v>1415</v>
      </c>
      <c r="B584" s="283" t="s">
        <v>1416</v>
      </c>
      <c r="C584" s="284" t="s">
        <v>7</v>
      </c>
      <c r="D584" s="358">
        <f t="shared" si="9"/>
        <v>31.25</v>
      </c>
      <c r="Q584" s="136">
        <v>31.25</v>
      </c>
    </row>
    <row r="585" spans="1:17" ht="25.5" x14ac:dyDescent="0.2">
      <c r="A585" s="283" t="s">
        <v>1417</v>
      </c>
      <c r="B585" s="283" t="s">
        <v>1418</v>
      </c>
      <c r="C585" s="284" t="s">
        <v>184</v>
      </c>
      <c r="D585" s="358">
        <f t="shared" si="9"/>
        <v>221.43</v>
      </c>
      <c r="Q585" s="136">
        <v>221.43</v>
      </c>
    </row>
    <row r="586" spans="1:17" ht="25.5" x14ac:dyDescent="0.2">
      <c r="A586" s="283" t="s">
        <v>1419</v>
      </c>
      <c r="B586" s="283" t="s">
        <v>1420</v>
      </c>
      <c r="C586" s="284" t="s">
        <v>184</v>
      </c>
      <c r="D586" s="358">
        <f t="shared" si="9"/>
        <v>228.4297</v>
      </c>
      <c r="Q586" s="136">
        <v>228.4297</v>
      </c>
    </row>
    <row r="587" spans="1:17" x14ac:dyDescent="0.2">
      <c r="A587" s="283" t="s">
        <v>1421</v>
      </c>
      <c r="B587" s="283" t="s">
        <v>1422</v>
      </c>
      <c r="C587" s="284" t="s">
        <v>184</v>
      </c>
      <c r="D587" s="358">
        <f t="shared" si="9"/>
        <v>2285.4879999999998</v>
      </c>
      <c r="Q587" s="136">
        <v>2285.4879999999998</v>
      </c>
    </row>
    <row r="588" spans="1:17" ht="25.5" x14ac:dyDescent="0.2">
      <c r="A588" s="283" t="s">
        <v>1423</v>
      </c>
      <c r="B588" s="283" t="s">
        <v>1424</v>
      </c>
      <c r="C588" s="284" t="s">
        <v>184</v>
      </c>
      <c r="D588" s="358">
        <f t="shared" si="9"/>
        <v>2192.52</v>
      </c>
      <c r="Q588" s="136">
        <v>2192.52</v>
      </c>
    </row>
    <row r="589" spans="1:17" ht="25.5" x14ac:dyDescent="0.2">
      <c r="A589" s="283" t="s">
        <v>1425</v>
      </c>
      <c r="B589" s="283" t="s">
        <v>1426</v>
      </c>
      <c r="C589" s="284" t="s">
        <v>184</v>
      </c>
      <c r="D589" s="358">
        <f t="shared" si="9"/>
        <v>1930.9104</v>
      </c>
      <c r="Q589" s="136">
        <v>1930.9104</v>
      </c>
    </row>
    <row r="590" spans="1:17" ht="25.5" x14ac:dyDescent="0.2">
      <c r="A590" s="283" t="s">
        <v>1427</v>
      </c>
      <c r="B590" s="283" t="s">
        <v>1428</v>
      </c>
      <c r="C590" s="284" t="s">
        <v>184</v>
      </c>
      <c r="D590" s="358">
        <f t="shared" si="9"/>
        <v>1676.9012</v>
      </c>
      <c r="Q590" s="136">
        <v>1676.9012</v>
      </c>
    </row>
    <row r="591" spans="1:17" ht="25.5" x14ac:dyDescent="0.2">
      <c r="A591" s="283" t="s">
        <v>1429</v>
      </c>
      <c r="B591" s="283" t="s">
        <v>1430</v>
      </c>
      <c r="C591" s="284" t="s">
        <v>184</v>
      </c>
      <c r="D591" s="358">
        <f t="shared" si="9"/>
        <v>2009.2842000000001</v>
      </c>
      <c r="Q591" s="136">
        <v>2009.2842000000001</v>
      </c>
    </row>
    <row r="592" spans="1:17" ht="25.5" x14ac:dyDescent="0.2">
      <c r="A592" s="283" t="s">
        <v>1431</v>
      </c>
      <c r="B592" s="283" t="s">
        <v>1432</v>
      </c>
      <c r="C592" s="284" t="s">
        <v>184</v>
      </c>
      <c r="D592" s="358">
        <f t="shared" si="9"/>
        <v>370.76819999999998</v>
      </c>
      <c r="Q592" s="136">
        <v>370.76819999999998</v>
      </c>
    </row>
    <row r="593" spans="1:17" ht="25.5" x14ac:dyDescent="0.2">
      <c r="A593" s="283" t="s">
        <v>1433</v>
      </c>
      <c r="B593" s="283" t="s">
        <v>1434</v>
      </c>
      <c r="C593" s="284" t="s">
        <v>184</v>
      </c>
      <c r="D593" s="358">
        <f t="shared" si="9"/>
        <v>395.53800000000001</v>
      </c>
      <c r="Q593" s="136">
        <v>395.53800000000001</v>
      </c>
    </row>
    <row r="594" spans="1:17" ht="25.5" x14ac:dyDescent="0.2">
      <c r="A594" s="283" t="s">
        <v>1435</v>
      </c>
      <c r="B594" s="283" t="s">
        <v>1436</v>
      </c>
      <c r="C594" s="284" t="s">
        <v>184</v>
      </c>
      <c r="D594" s="358">
        <f t="shared" si="9"/>
        <v>1344.684</v>
      </c>
      <c r="Q594" s="136">
        <v>1344.684</v>
      </c>
    </row>
    <row r="595" spans="1:17" x14ac:dyDescent="0.2">
      <c r="A595" s="283" t="s">
        <v>1437</v>
      </c>
      <c r="B595" s="283" t="s">
        <v>1438</v>
      </c>
      <c r="C595" s="284" t="s">
        <v>184</v>
      </c>
      <c r="D595" s="358">
        <f t="shared" si="9"/>
        <v>248.9776</v>
      </c>
      <c r="Q595" s="136">
        <v>248.9776</v>
      </c>
    </row>
    <row r="596" spans="1:17" x14ac:dyDescent="0.2">
      <c r="A596" s="283" t="s">
        <v>1439</v>
      </c>
      <c r="B596" s="283" t="s">
        <v>1440</v>
      </c>
      <c r="C596" s="284" t="s">
        <v>184</v>
      </c>
      <c r="D596" s="358">
        <f t="shared" si="9"/>
        <v>247.4588</v>
      </c>
      <c r="Q596" s="136">
        <v>247.4588</v>
      </c>
    </row>
    <row r="597" spans="1:17" x14ac:dyDescent="0.2">
      <c r="A597" s="283" t="s">
        <v>1441</v>
      </c>
      <c r="B597" s="283" t="s">
        <v>1442</v>
      </c>
      <c r="C597" s="284" t="s">
        <v>184</v>
      </c>
      <c r="D597" s="358">
        <f t="shared" si="9"/>
        <v>245.63980000000001</v>
      </c>
      <c r="Q597" s="136">
        <v>245.63980000000001</v>
      </c>
    </row>
    <row r="598" spans="1:17" ht="25.5" x14ac:dyDescent="0.2">
      <c r="A598" s="283" t="s">
        <v>1443</v>
      </c>
      <c r="B598" s="283" t="s">
        <v>1444</v>
      </c>
      <c r="C598" s="284" t="s">
        <v>184</v>
      </c>
      <c r="D598" s="358">
        <f t="shared" si="9"/>
        <v>1090.0260000000001</v>
      </c>
      <c r="Q598" s="136">
        <v>1090.0260000000001</v>
      </c>
    </row>
    <row r="599" spans="1:17" ht="25.5" x14ac:dyDescent="0.2">
      <c r="A599" s="283" t="s">
        <v>1445</v>
      </c>
      <c r="B599" s="283" t="s">
        <v>1446</v>
      </c>
      <c r="C599" s="284" t="s">
        <v>184</v>
      </c>
      <c r="D599" s="358">
        <f t="shared" si="9"/>
        <v>1825.2788</v>
      </c>
      <c r="Q599" s="136">
        <v>1825.2788</v>
      </c>
    </row>
    <row r="600" spans="1:17" x14ac:dyDescent="0.2">
      <c r="A600" s="283" t="s">
        <v>1447</v>
      </c>
      <c r="B600" s="283" t="s">
        <v>1448</v>
      </c>
      <c r="C600" s="284" t="s">
        <v>184</v>
      </c>
      <c r="D600" s="358">
        <f t="shared" si="9"/>
        <v>165.9289</v>
      </c>
      <c r="Q600" s="136">
        <v>165.9289</v>
      </c>
    </row>
    <row r="601" spans="1:17" x14ac:dyDescent="0.2">
      <c r="A601" s="283" t="s">
        <v>1449</v>
      </c>
      <c r="B601" s="283" t="s">
        <v>1450</v>
      </c>
      <c r="C601" s="284" t="s">
        <v>184</v>
      </c>
      <c r="D601" s="358">
        <f t="shared" si="9"/>
        <v>150.00450000000001</v>
      </c>
      <c r="Q601" s="136">
        <v>150.00450000000001</v>
      </c>
    </row>
    <row r="602" spans="1:17" x14ac:dyDescent="0.2">
      <c r="A602" s="283" t="s">
        <v>1451</v>
      </c>
      <c r="B602" s="283" t="s">
        <v>1452</v>
      </c>
      <c r="C602" s="284" t="s">
        <v>1453</v>
      </c>
      <c r="D602" s="358">
        <f t="shared" si="9"/>
        <v>15.5375</v>
      </c>
      <c r="Q602" s="136">
        <v>15.5375</v>
      </c>
    </row>
    <row r="603" spans="1:17" x14ac:dyDescent="0.2">
      <c r="A603" s="283" t="s">
        <v>1454</v>
      </c>
      <c r="B603" s="283" t="s">
        <v>1455</v>
      </c>
      <c r="C603" s="284" t="s">
        <v>184</v>
      </c>
      <c r="D603" s="358">
        <f t="shared" si="9"/>
        <v>85.398300000000006</v>
      </c>
      <c r="Q603" s="136">
        <v>85.398300000000006</v>
      </c>
    </row>
    <row r="604" spans="1:17" x14ac:dyDescent="0.2">
      <c r="A604" s="283" t="s">
        <v>1456</v>
      </c>
      <c r="B604" s="283" t="s">
        <v>1457</v>
      </c>
      <c r="C604" s="284" t="s">
        <v>184</v>
      </c>
      <c r="D604" s="358">
        <f t="shared" si="9"/>
        <v>398.87</v>
      </c>
      <c r="Q604" s="136">
        <v>398.87</v>
      </c>
    </row>
    <row r="605" spans="1:17" x14ac:dyDescent="0.2">
      <c r="A605" s="283" t="s">
        <v>1458</v>
      </c>
      <c r="B605" s="283" t="s">
        <v>1459</v>
      </c>
      <c r="C605" s="284" t="s">
        <v>184</v>
      </c>
      <c r="D605" s="358">
        <f t="shared" si="9"/>
        <v>115.1541</v>
      </c>
      <c r="Q605" s="136">
        <v>115.1541</v>
      </c>
    </row>
    <row r="606" spans="1:17" x14ac:dyDescent="0.2">
      <c r="A606" s="283" t="s">
        <v>1460</v>
      </c>
      <c r="B606" s="283" t="s">
        <v>1461</v>
      </c>
      <c r="C606" s="284" t="s">
        <v>184</v>
      </c>
      <c r="D606" s="358">
        <f t="shared" si="9"/>
        <v>345.04610000000002</v>
      </c>
      <c r="Q606" s="136">
        <v>345.04610000000002</v>
      </c>
    </row>
    <row r="607" spans="1:17" x14ac:dyDescent="0.2">
      <c r="A607" s="283" t="s">
        <v>1462</v>
      </c>
      <c r="B607" s="283" t="s">
        <v>1463</v>
      </c>
      <c r="C607" s="284" t="s">
        <v>184</v>
      </c>
      <c r="D607" s="358">
        <f t="shared" si="9"/>
        <v>209.9128</v>
      </c>
      <c r="Q607" s="136">
        <v>209.9128</v>
      </c>
    </row>
    <row r="608" spans="1:17" x14ac:dyDescent="0.2">
      <c r="A608" s="283" t="s">
        <v>1464</v>
      </c>
      <c r="B608" s="283" t="s">
        <v>1465</v>
      </c>
      <c r="C608" s="284" t="s">
        <v>184</v>
      </c>
      <c r="D608" s="358">
        <f t="shared" si="9"/>
        <v>207.51669999999999</v>
      </c>
      <c r="Q608" s="136">
        <v>207.51669999999999</v>
      </c>
    </row>
    <row r="609" spans="1:17" x14ac:dyDescent="0.2">
      <c r="A609" s="283" t="s">
        <v>1466</v>
      </c>
      <c r="B609" s="283" t="s">
        <v>1467</v>
      </c>
      <c r="C609" s="284" t="s">
        <v>1453</v>
      </c>
      <c r="D609" s="358">
        <f t="shared" si="9"/>
        <v>19.516300000000001</v>
      </c>
      <c r="Q609" s="136">
        <v>19.516300000000001</v>
      </c>
    </row>
    <row r="610" spans="1:17" x14ac:dyDescent="0.2">
      <c r="A610" s="283" t="s">
        <v>1468</v>
      </c>
      <c r="B610" s="283" t="s">
        <v>402</v>
      </c>
      <c r="C610" s="284" t="s">
        <v>7</v>
      </c>
      <c r="D610" s="358">
        <f t="shared" si="9"/>
        <v>2.5828000000000002</v>
      </c>
      <c r="Q610" s="136">
        <v>2.5828000000000002</v>
      </c>
    </row>
    <row r="611" spans="1:17" x14ac:dyDescent="0.2">
      <c r="A611" s="283" t="s">
        <v>1469</v>
      </c>
      <c r="B611" s="283" t="s">
        <v>1470</v>
      </c>
      <c r="C611" s="284" t="s">
        <v>184</v>
      </c>
      <c r="D611" s="358">
        <f t="shared" si="9"/>
        <v>682.58489999999995</v>
      </c>
      <c r="Q611" s="136">
        <v>682.58489999999995</v>
      </c>
    </row>
    <row r="612" spans="1:17" x14ac:dyDescent="0.2">
      <c r="A612" s="283" t="s">
        <v>1471</v>
      </c>
      <c r="B612" s="283" t="s">
        <v>1238</v>
      </c>
      <c r="C612" s="284" t="s">
        <v>184</v>
      </c>
      <c r="D612" s="358">
        <f t="shared" si="9"/>
        <v>64.473299999999995</v>
      </c>
      <c r="Q612" s="136">
        <v>64.473299999999995</v>
      </c>
    </row>
    <row r="613" spans="1:17" x14ac:dyDescent="0.2">
      <c r="A613" s="283" t="s">
        <v>1472</v>
      </c>
      <c r="B613" s="283" t="s">
        <v>1240</v>
      </c>
      <c r="C613" s="284" t="s">
        <v>184</v>
      </c>
      <c r="D613" s="358">
        <f t="shared" si="9"/>
        <v>123.92</v>
      </c>
      <c r="Q613" s="136">
        <v>123.92</v>
      </c>
    </row>
    <row r="614" spans="1:17" x14ac:dyDescent="0.2">
      <c r="A614" s="283" t="s">
        <v>1473</v>
      </c>
      <c r="B614" s="283" t="s">
        <v>409</v>
      </c>
      <c r="C614" s="284" t="s">
        <v>7</v>
      </c>
      <c r="D614" s="358">
        <f t="shared" si="9"/>
        <v>6.6714000000000002</v>
      </c>
      <c r="Q614" s="136">
        <v>6.6714000000000002</v>
      </c>
    </row>
    <row r="615" spans="1:17" x14ac:dyDescent="0.2">
      <c r="A615" s="283" t="s">
        <v>1474</v>
      </c>
      <c r="B615" s="283" t="s">
        <v>1241</v>
      </c>
      <c r="C615" s="284" t="s">
        <v>7</v>
      </c>
      <c r="D615" s="358">
        <f t="shared" si="9"/>
        <v>3.6947000000000001</v>
      </c>
      <c r="Q615" s="136">
        <v>3.6947000000000001</v>
      </c>
    </row>
    <row r="616" spans="1:17" x14ac:dyDescent="0.2">
      <c r="A616" s="283" t="s">
        <v>1475</v>
      </c>
      <c r="B616" s="283" t="s">
        <v>1242</v>
      </c>
      <c r="C616" s="284" t="s">
        <v>7</v>
      </c>
      <c r="D616" s="358">
        <f t="shared" si="9"/>
        <v>18.188099999999999</v>
      </c>
      <c r="Q616" s="136">
        <v>18.188099999999999</v>
      </c>
    </row>
    <row r="617" spans="1:17" x14ac:dyDescent="0.2">
      <c r="A617" s="283" t="s">
        <v>1476</v>
      </c>
      <c r="B617" s="283" t="s">
        <v>1244</v>
      </c>
      <c r="C617" s="284" t="s">
        <v>7</v>
      </c>
      <c r="D617" s="358">
        <f t="shared" si="9"/>
        <v>36.530500000000004</v>
      </c>
      <c r="Q617" s="136">
        <v>36.530500000000004</v>
      </c>
    </row>
    <row r="618" spans="1:17" x14ac:dyDescent="0.2">
      <c r="A618" s="283" t="s">
        <v>1477</v>
      </c>
      <c r="B618" s="283" t="s">
        <v>1478</v>
      </c>
      <c r="C618" s="284" t="s">
        <v>7</v>
      </c>
      <c r="D618" s="358">
        <f t="shared" si="9"/>
        <v>9.7767999999999997</v>
      </c>
      <c r="Q618" s="136">
        <v>9.7767999999999997</v>
      </c>
    </row>
    <row r="619" spans="1:17" x14ac:dyDescent="0.2">
      <c r="A619" s="283" t="s">
        <v>1479</v>
      </c>
      <c r="B619" s="283" t="s">
        <v>1245</v>
      </c>
      <c r="C619" s="284" t="s">
        <v>7</v>
      </c>
      <c r="D619" s="358">
        <f t="shared" si="9"/>
        <v>2.4603999999999999</v>
      </c>
      <c r="Q619" s="136">
        <v>2.4603999999999999</v>
      </c>
    </row>
    <row r="620" spans="1:17" x14ac:dyDescent="0.2">
      <c r="A620" s="283" t="s">
        <v>1480</v>
      </c>
      <c r="B620" s="283" t="s">
        <v>1481</v>
      </c>
      <c r="C620" s="284" t="s">
        <v>7</v>
      </c>
      <c r="D620" s="358">
        <f t="shared" si="9"/>
        <v>2.4129</v>
      </c>
      <c r="Q620" s="136">
        <v>2.4129</v>
      </c>
    </row>
    <row r="621" spans="1:17" x14ac:dyDescent="0.2">
      <c r="A621" s="283" t="s">
        <v>1482</v>
      </c>
      <c r="B621" s="283" t="s">
        <v>1483</v>
      </c>
      <c r="C621" s="284" t="s">
        <v>7</v>
      </c>
      <c r="D621" s="358">
        <f t="shared" si="9"/>
        <v>5.7998000000000003</v>
      </c>
      <c r="Q621" s="136">
        <v>5.7998000000000003</v>
      </c>
    </row>
    <row r="622" spans="1:17" x14ac:dyDescent="0.2">
      <c r="A622" s="283" t="s">
        <v>1484</v>
      </c>
      <c r="B622" s="283" t="s">
        <v>418</v>
      </c>
      <c r="C622" s="284" t="s">
        <v>184</v>
      </c>
      <c r="D622" s="358">
        <f t="shared" si="9"/>
        <v>3.2565</v>
      </c>
      <c r="Q622" s="136">
        <v>3.2565</v>
      </c>
    </row>
    <row r="623" spans="1:17" x14ac:dyDescent="0.2">
      <c r="A623" s="283" t="s">
        <v>1485</v>
      </c>
      <c r="B623" s="283" t="s">
        <v>420</v>
      </c>
      <c r="C623" s="284" t="s">
        <v>184</v>
      </c>
      <c r="D623" s="358">
        <f t="shared" si="9"/>
        <v>1.6902999999999999</v>
      </c>
      <c r="Q623" s="136">
        <v>1.6902999999999999</v>
      </c>
    </row>
    <row r="624" spans="1:17" x14ac:dyDescent="0.2">
      <c r="A624" s="283" t="s">
        <v>1486</v>
      </c>
      <c r="B624" s="283" t="s">
        <v>422</v>
      </c>
      <c r="C624" s="284" t="s">
        <v>184</v>
      </c>
      <c r="D624" s="358">
        <f t="shared" si="9"/>
        <v>6.6534000000000004</v>
      </c>
      <c r="Q624" s="136">
        <v>6.6534000000000004</v>
      </c>
    </row>
    <row r="625" spans="1:17" x14ac:dyDescent="0.2">
      <c r="A625" s="283" t="s">
        <v>1487</v>
      </c>
      <c r="B625" s="283" t="s">
        <v>1246</v>
      </c>
      <c r="C625" s="284" t="s">
        <v>184</v>
      </c>
      <c r="D625" s="358">
        <f t="shared" si="9"/>
        <v>3.3982000000000001</v>
      </c>
      <c r="Q625" s="136">
        <v>3.3982000000000001</v>
      </c>
    </row>
    <row r="626" spans="1:17" x14ac:dyDescent="0.2">
      <c r="A626" s="283" t="s">
        <v>1488</v>
      </c>
      <c r="B626" s="283" t="s">
        <v>1248</v>
      </c>
      <c r="C626" s="284" t="s">
        <v>184</v>
      </c>
      <c r="D626" s="358">
        <f t="shared" si="9"/>
        <v>32.79</v>
      </c>
      <c r="Q626" s="136">
        <v>32.79</v>
      </c>
    </row>
    <row r="627" spans="1:17" x14ac:dyDescent="0.2">
      <c r="A627" s="283" t="s">
        <v>1489</v>
      </c>
      <c r="B627" s="283" t="s">
        <v>1250</v>
      </c>
      <c r="C627" s="284" t="s">
        <v>184</v>
      </c>
      <c r="D627" s="358">
        <f t="shared" si="9"/>
        <v>43.3</v>
      </c>
      <c r="Q627" s="136">
        <v>43.3</v>
      </c>
    </row>
    <row r="628" spans="1:17" x14ac:dyDescent="0.2">
      <c r="A628" s="283" t="s">
        <v>1490</v>
      </c>
      <c r="B628" s="283" t="s">
        <v>1252</v>
      </c>
      <c r="C628" s="284" t="s">
        <v>184</v>
      </c>
      <c r="D628" s="358">
        <f t="shared" si="9"/>
        <v>23.907900000000001</v>
      </c>
      <c r="Q628" s="136">
        <v>23.907900000000001</v>
      </c>
    </row>
    <row r="629" spans="1:17" x14ac:dyDescent="0.2">
      <c r="A629" s="283" t="s">
        <v>1491</v>
      </c>
      <c r="B629" s="283" t="s">
        <v>1253</v>
      </c>
      <c r="C629" s="284" t="s">
        <v>184</v>
      </c>
      <c r="D629" s="358">
        <f t="shared" si="9"/>
        <v>28.033300000000001</v>
      </c>
      <c r="Q629" s="136">
        <v>28.033300000000001</v>
      </c>
    </row>
    <row r="630" spans="1:17" x14ac:dyDescent="0.2">
      <c r="A630" s="283" t="s">
        <v>1492</v>
      </c>
      <c r="B630" s="283" t="s">
        <v>428</v>
      </c>
      <c r="C630" s="284" t="s">
        <v>184</v>
      </c>
      <c r="D630" s="358">
        <f t="shared" si="9"/>
        <v>35.1188</v>
      </c>
      <c r="Q630" s="136">
        <v>35.1188</v>
      </c>
    </row>
    <row r="631" spans="1:17" x14ac:dyDescent="0.2">
      <c r="A631" s="283" t="s">
        <v>1493</v>
      </c>
      <c r="B631" s="283" t="s">
        <v>1255</v>
      </c>
      <c r="C631" s="284" t="s">
        <v>184</v>
      </c>
      <c r="D631" s="358">
        <f t="shared" si="9"/>
        <v>4.7748999999999997</v>
      </c>
      <c r="Q631" s="136">
        <v>4.7748999999999997</v>
      </c>
    </row>
    <row r="632" spans="1:17" x14ac:dyDescent="0.2">
      <c r="A632" s="283" t="s">
        <v>1494</v>
      </c>
      <c r="B632" s="283" t="s">
        <v>1257</v>
      </c>
      <c r="C632" s="284" t="s">
        <v>184</v>
      </c>
      <c r="D632" s="358">
        <f t="shared" si="9"/>
        <v>4.1295000000000002</v>
      </c>
      <c r="Q632" s="136">
        <v>4.1295000000000002</v>
      </c>
    </row>
    <row r="633" spans="1:17" x14ac:dyDescent="0.2">
      <c r="A633" s="283" t="s">
        <v>1495</v>
      </c>
      <c r="B633" s="283" t="s">
        <v>1259</v>
      </c>
      <c r="C633" s="284" t="s">
        <v>7</v>
      </c>
      <c r="D633" s="358">
        <f t="shared" si="9"/>
        <v>1.7615000000000001</v>
      </c>
      <c r="Q633" s="136">
        <v>1.7615000000000001</v>
      </c>
    </row>
    <row r="634" spans="1:17" x14ac:dyDescent="0.2">
      <c r="A634" s="283" t="s">
        <v>1496</v>
      </c>
      <c r="B634" s="283" t="s">
        <v>1260</v>
      </c>
      <c r="C634" s="284" t="s">
        <v>184</v>
      </c>
      <c r="D634" s="358">
        <f t="shared" si="9"/>
        <v>31.601800000000001</v>
      </c>
      <c r="Q634" s="136">
        <v>31.601800000000001</v>
      </c>
    </row>
    <row r="635" spans="1:17" x14ac:dyDescent="0.2">
      <c r="A635" s="283" t="s">
        <v>1497</v>
      </c>
      <c r="B635" s="283" t="s">
        <v>1262</v>
      </c>
      <c r="C635" s="284" t="s">
        <v>184</v>
      </c>
      <c r="D635" s="358">
        <f t="shared" si="9"/>
        <v>65.430000000000007</v>
      </c>
      <c r="Q635" s="136">
        <v>65.430000000000007</v>
      </c>
    </row>
    <row r="636" spans="1:17" x14ac:dyDescent="0.2">
      <c r="A636" s="283" t="s">
        <v>1498</v>
      </c>
      <c r="B636" s="283" t="s">
        <v>1264</v>
      </c>
      <c r="C636" s="284" t="s">
        <v>184</v>
      </c>
      <c r="D636" s="358">
        <f t="shared" si="9"/>
        <v>289.87459999999999</v>
      </c>
      <c r="Q636" s="136">
        <v>289.87459999999999</v>
      </c>
    </row>
    <row r="637" spans="1:17" x14ac:dyDescent="0.2">
      <c r="A637" s="283" t="s">
        <v>1499</v>
      </c>
      <c r="B637" s="283" t="s">
        <v>1266</v>
      </c>
      <c r="C637" s="284" t="s">
        <v>184</v>
      </c>
      <c r="D637" s="358">
        <f t="shared" si="9"/>
        <v>93.914699999999996</v>
      </c>
      <c r="Q637" s="136">
        <v>93.914699999999996</v>
      </c>
    </row>
    <row r="638" spans="1:17" x14ac:dyDescent="0.2">
      <c r="A638" s="283" t="s">
        <v>1500</v>
      </c>
      <c r="B638" s="283" t="s">
        <v>1268</v>
      </c>
      <c r="C638" s="284" t="s">
        <v>184</v>
      </c>
      <c r="D638" s="358">
        <f t="shared" si="9"/>
        <v>308.6388</v>
      </c>
      <c r="Q638" s="136">
        <v>308.6388</v>
      </c>
    </row>
    <row r="639" spans="1:17" x14ac:dyDescent="0.2">
      <c r="A639" s="283" t="s">
        <v>1501</v>
      </c>
      <c r="B639" s="283" t="s">
        <v>1270</v>
      </c>
      <c r="C639" s="284" t="s">
        <v>184</v>
      </c>
      <c r="D639" s="358">
        <f t="shared" si="9"/>
        <v>532.88649999999996</v>
      </c>
      <c r="Q639" s="136">
        <v>532.88649999999996</v>
      </c>
    </row>
    <row r="640" spans="1:17" x14ac:dyDescent="0.2">
      <c r="A640" s="283" t="s">
        <v>1502</v>
      </c>
      <c r="B640" s="283" t="s">
        <v>1272</v>
      </c>
      <c r="C640" s="284" t="s">
        <v>184</v>
      </c>
      <c r="D640" s="358">
        <f t="shared" si="9"/>
        <v>20.610700000000001</v>
      </c>
      <c r="Q640" s="136">
        <v>20.610700000000001</v>
      </c>
    </row>
    <row r="641" spans="1:17" x14ac:dyDescent="0.2">
      <c r="A641" s="283" t="s">
        <v>1503</v>
      </c>
      <c r="B641" s="283" t="s">
        <v>1273</v>
      </c>
      <c r="C641" s="284" t="s">
        <v>184</v>
      </c>
      <c r="D641" s="358">
        <f t="shared" ref="D641:D704" si="10">Q641</f>
        <v>20.02</v>
      </c>
      <c r="Q641" s="136">
        <v>20.02</v>
      </c>
    </row>
    <row r="642" spans="1:17" x14ac:dyDescent="0.2">
      <c r="A642" s="283" t="s">
        <v>1504</v>
      </c>
      <c r="B642" s="283" t="s">
        <v>1275</v>
      </c>
      <c r="C642" s="284" t="s">
        <v>184</v>
      </c>
      <c r="D642" s="358">
        <f t="shared" si="10"/>
        <v>24.383099999999999</v>
      </c>
      <c r="Q642" s="136">
        <v>24.383099999999999</v>
      </c>
    </row>
    <row r="643" spans="1:17" x14ac:dyDescent="0.2">
      <c r="A643" s="283" t="s">
        <v>1505</v>
      </c>
      <c r="B643" s="283" t="s">
        <v>1277</v>
      </c>
      <c r="C643" s="284" t="s">
        <v>184</v>
      </c>
      <c r="D643" s="358">
        <f t="shared" si="10"/>
        <v>306.2122</v>
      </c>
      <c r="Q643" s="136">
        <v>306.2122</v>
      </c>
    </row>
    <row r="644" spans="1:17" x14ac:dyDescent="0.2">
      <c r="A644" s="283" t="s">
        <v>1506</v>
      </c>
      <c r="B644" s="283" t="s">
        <v>1279</v>
      </c>
      <c r="C644" s="284" t="s">
        <v>184</v>
      </c>
      <c r="D644" s="358">
        <f t="shared" si="10"/>
        <v>381.61680000000001</v>
      </c>
      <c r="Q644" s="136">
        <v>381.61680000000001</v>
      </c>
    </row>
    <row r="645" spans="1:17" x14ac:dyDescent="0.2">
      <c r="A645" s="283" t="s">
        <v>1507</v>
      </c>
      <c r="B645" s="283" t="s">
        <v>1281</v>
      </c>
      <c r="C645" s="284" t="s">
        <v>184</v>
      </c>
      <c r="D645" s="358">
        <f t="shared" si="10"/>
        <v>70.658299999999997</v>
      </c>
      <c r="Q645" s="136">
        <v>70.658299999999997</v>
      </c>
    </row>
    <row r="646" spans="1:17" x14ac:dyDescent="0.2">
      <c r="A646" s="283" t="s">
        <v>1508</v>
      </c>
      <c r="B646" s="283" t="s">
        <v>1283</v>
      </c>
      <c r="C646" s="284" t="s">
        <v>184</v>
      </c>
      <c r="D646" s="358">
        <f t="shared" si="10"/>
        <v>153.21</v>
      </c>
      <c r="Q646" s="136">
        <v>153.21</v>
      </c>
    </row>
    <row r="647" spans="1:17" x14ac:dyDescent="0.2">
      <c r="A647" s="283" t="s">
        <v>1509</v>
      </c>
      <c r="B647" s="283" t="s">
        <v>1285</v>
      </c>
      <c r="C647" s="284" t="s">
        <v>184</v>
      </c>
      <c r="D647" s="358">
        <f t="shared" si="10"/>
        <v>136.52269999999999</v>
      </c>
      <c r="Q647" s="136">
        <v>136.52269999999999</v>
      </c>
    </row>
    <row r="648" spans="1:17" x14ac:dyDescent="0.2">
      <c r="A648" s="283" t="s">
        <v>1510</v>
      </c>
      <c r="B648" s="283" t="s">
        <v>1287</v>
      </c>
      <c r="C648" s="284" t="s">
        <v>184</v>
      </c>
      <c r="D648" s="358">
        <f t="shared" si="10"/>
        <v>22.035</v>
      </c>
      <c r="Q648" s="136">
        <v>22.035</v>
      </c>
    </row>
    <row r="649" spans="1:17" x14ac:dyDescent="0.2">
      <c r="A649" s="283" t="s">
        <v>1511</v>
      </c>
      <c r="B649" s="283" t="s">
        <v>1288</v>
      </c>
      <c r="C649" s="284" t="s">
        <v>184</v>
      </c>
      <c r="D649" s="358">
        <f t="shared" si="10"/>
        <v>15970.59</v>
      </c>
      <c r="Q649" s="136">
        <v>15970.59</v>
      </c>
    </row>
    <row r="650" spans="1:17" x14ac:dyDescent="0.2">
      <c r="A650" s="283" t="s">
        <v>1512</v>
      </c>
      <c r="B650" s="283" t="s">
        <v>1290</v>
      </c>
      <c r="C650" s="284" t="s">
        <v>184</v>
      </c>
      <c r="D650" s="358">
        <f t="shared" si="10"/>
        <v>9.1353000000000009</v>
      </c>
      <c r="Q650" s="136">
        <v>9.1353000000000009</v>
      </c>
    </row>
    <row r="651" spans="1:17" x14ac:dyDescent="0.2">
      <c r="A651" s="283" t="s">
        <v>1513</v>
      </c>
      <c r="B651" s="283" t="s">
        <v>436</v>
      </c>
      <c r="C651" s="284" t="s">
        <v>184</v>
      </c>
      <c r="D651" s="358">
        <f t="shared" si="10"/>
        <v>72.058599999999998</v>
      </c>
      <c r="Q651" s="136">
        <v>72.058599999999998</v>
      </c>
    </row>
    <row r="652" spans="1:17" ht="25.5" x14ac:dyDescent="0.2">
      <c r="A652" s="283" t="s">
        <v>1514</v>
      </c>
      <c r="B652" s="283" t="s">
        <v>1291</v>
      </c>
      <c r="C652" s="284" t="s">
        <v>184</v>
      </c>
      <c r="D652" s="358">
        <f t="shared" si="10"/>
        <v>160.8733</v>
      </c>
      <c r="Q652" s="136">
        <v>160.8733</v>
      </c>
    </row>
    <row r="653" spans="1:17" x14ac:dyDescent="0.2">
      <c r="A653" s="283" t="s">
        <v>1515</v>
      </c>
      <c r="B653" s="283" t="s">
        <v>446</v>
      </c>
      <c r="C653" s="284" t="s">
        <v>184</v>
      </c>
      <c r="D653" s="358">
        <f t="shared" si="10"/>
        <v>3.4540000000000002</v>
      </c>
      <c r="Q653" s="136">
        <v>3.4540000000000002</v>
      </c>
    </row>
    <row r="654" spans="1:17" x14ac:dyDescent="0.2">
      <c r="A654" s="283" t="s">
        <v>1516</v>
      </c>
      <c r="B654" s="283" t="s">
        <v>1293</v>
      </c>
      <c r="C654" s="284" t="s">
        <v>184</v>
      </c>
      <c r="D654" s="358">
        <f t="shared" si="10"/>
        <v>11.22</v>
      </c>
      <c r="Q654" s="136">
        <v>11.22</v>
      </c>
    </row>
    <row r="655" spans="1:17" x14ac:dyDescent="0.2">
      <c r="A655" s="283" t="s">
        <v>1517</v>
      </c>
      <c r="B655" s="283" t="s">
        <v>456</v>
      </c>
      <c r="C655" s="284" t="s">
        <v>184</v>
      </c>
      <c r="D655" s="358">
        <f t="shared" si="10"/>
        <v>1.93</v>
      </c>
      <c r="Q655" s="136">
        <v>1.93</v>
      </c>
    </row>
    <row r="656" spans="1:17" x14ac:dyDescent="0.2">
      <c r="A656" s="283" t="s">
        <v>1518</v>
      </c>
      <c r="B656" s="283" t="s">
        <v>1294</v>
      </c>
      <c r="C656" s="284" t="s">
        <v>184</v>
      </c>
      <c r="D656" s="358">
        <f t="shared" si="10"/>
        <v>6.6352000000000002</v>
      </c>
      <c r="Q656" s="136">
        <v>6.6352000000000002</v>
      </c>
    </row>
    <row r="657" spans="1:17" x14ac:dyDescent="0.2">
      <c r="A657" s="283" t="s">
        <v>1519</v>
      </c>
      <c r="B657" s="283" t="s">
        <v>460</v>
      </c>
      <c r="C657" s="284" t="s">
        <v>184</v>
      </c>
      <c r="D657" s="358">
        <f t="shared" si="10"/>
        <v>10.2568</v>
      </c>
      <c r="Q657" s="136">
        <v>10.2568</v>
      </c>
    </row>
    <row r="658" spans="1:17" x14ac:dyDescent="0.2">
      <c r="A658" s="283" t="s">
        <v>1520</v>
      </c>
      <c r="B658" s="283" t="s">
        <v>464</v>
      </c>
      <c r="C658" s="284" t="s">
        <v>184</v>
      </c>
      <c r="D658" s="358">
        <f t="shared" si="10"/>
        <v>1.405</v>
      </c>
      <c r="Q658" s="136">
        <v>1.405</v>
      </c>
    </row>
    <row r="659" spans="1:17" x14ac:dyDescent="0.2">
      <c r="A659" s="283" t="s">
        <v>1521</v>
      </c>
      <c r="B659" s="283" t="s">
        <v>468</v>
      </c>
      <c r="C659" s="284" t="s">
        <v>184</v>
      </c>
      <c r="D659" s="358">
        <f t="shared" si="10"/>
        <v>9.6102000000000007</v>
      </c>
      <c r="Q659" s="136">
        <v>9.6102000000000007</v>
      </c>
    </row>
    <row r="660" spans="1:17" x14ac:dyDescent="0.2">
      <c r="A660" s="283" t="s">
        <v>1522</v>
      </c>
      <c r="B660" s="283" t="s">
        <v>1523</v>
      </c>
      <c r="C660" s="284" t="s">
        <v>7</v>
      </c>
      <c r="D660" s="358">
        <f t="shared" si="10"/>
        <v>2</v>
      </c>
      <c r="Q660" s="136">
        <v>2</v>
      </c>
    </row>
    <row r="661" spans="1:17" x14ac:dyDescent="0.2">
      <c r="A661" s="283" t="s">
        <v>1524</v>
      </c>
      <c r="B661" s="283" t="s">
        <v>1296</v>
      </c>
      <c r="C661" s="284" t="s">
        <v>184</v>
      </c>
      <c r="D661" s="358">
        <f t="shared" si="10"/>
        <v>3.6596000000000002</v>
      </c>
      <c r="Q661" s="136">
        <v>3.6596000000000002</v>
      </c>
    </row>
    <row r="662" spans="1:17" x14ac:dyDescent="0.2">
      <c r="A662" s="283" t="s">
        <v>1525</v>
      </c>
      <c r="B662" s="283" t="s">
        <v>1526</v>
      </c>
      <c r="C662" s="284" t="s">
        <v>184</v>
      </c>
      <c r="D662" s="358">
        <f t="shared" si="10"/>
        <v>14.66</v>
      </c>
      <c r="Q662" s="136">
        <v>14.66</v>
      </c>
    </row>
    <row r="663" spans="1:17" x14ac:dyDescent="0.2">
      <c r="A663" s="283" t="s">
        <v>1527</v>
      </c>
      <c r="B663" s="283" t="s">
        <v>1528</v>
      </c>
      <c r="C663" s="284" t="s">
        <v>184</v>
      </c>
      <c r="D663" s="358">
        <f t="shared" si="10"/>
        <v>69411.287299999996</v>
      </c>
      <c r="Q663" s="136">
        <v>69411.287299999996</v>
      </c>
    </row>
    <row r="664" spans="1:17" x14ac:dyDescent="0.2">
      <c r="A664" s="283" t="s">
        <v>1529</v>
      </c>
      <c r="B664" s="283" t="s">
        <v>1530</v>
      </c>
      <c r="C664" s="284" t="s">
        <v>184</v>
      </c>
      <c r="D664" s="358">
        <f t="shared" si="10"/>
        <v>516774.7255</v>
      </c>
      <c r="Q664" s="136">
        <v>516774.7255</v>
      </c>
    </row>
    <row r="665" spans="1:17" x14ac:dyDescent="0.2">
      <c r="A665" s="283" t="s">
        <v>1531</v>
      </c>
      <c r="B665" s="283" t="s">
        <v>1532</v>
      </c>
      <c r="C665" s="284" t="s">
        <v>184</v>
      </c>
      <c r="D665" s="358">
        <f t="shared" si="10"/>
        <v>85696.502500000002</v>
      </c>
      <c r="Q665" s="136">
        <v>85696.502500000002</v>
      </c>
    </row>
    <row r="666" spans="1:17" x14ac:dyDescent="0.2">
      <c r="A666" s="283" t="s">
        <v>1533</v>
      </c>
      <c r="B666" s="283" t="s">
        <v>1534</v>
      </c>
      <c r="C666" s="284" t="s">
        <v>184</v>
      </c>
      <c r="D666" s="358">
        <f t="shared" si="10"/>
        <v>18656.802500000002</v>
      </c>
      <c r="Q666" s="136">
        <v>18656.802500000002</v>
      </c>
    </row>
    <row r="667" spans="1:17" x14ac:dyDescent="0.2">
      <c r="A667" s="283" t="s">
        <v>1535</v>
      </c>
      <c r="B667" s="283" t="s">
        <v>1536</v>
      </c>
      <c r="C667" s="284" t="s">
        <v>184</v>
      </c>
      <c r="D667" s="358">
        <f t="shared" si="10"/>
        <v>13392.474200000001</v>
      </c>
      <c r="Q667" s="136">
        <v>13392.474200000001</v>
      </c>
    </row>
    <row r="668" spans="1:17" ht="25.5" x14ac:dyDescent="0.2">
      <c r="A668" s="283" t="s">
        <v>1537</v>
      </c>
      <c r="B668" s="283" t="s">
        <v>1538</v>
      </c>
      <c r="C668" s="284" t="s">
        <v>184</v>
      </c>
      <c r="D668" s="358">
        <f t="shared" si="10"/>
        <v>200530.32</v>
      </c>
      <c r="Q668" s="136">
        <v>200530.32</v>
      </c>
    </row>
    <row r="669" spans="1:17" x14ac:dyDescent="0.2">
      <c r="A669" s="283" t="s">
        <v>1539</v>
      </c>
      <c r="B669" s="283" t="s">
        <v>1540</v>
      </c>
      <c r="C669" s="284" t="s">
        <v>184</v>
      </c>
      <c r="D669" s="358">
        <f t="shared" si="10"/>
        <v>38584.9827</v>
      </c>
      <c r="Q669" s="136">
        <v>38584.9827</v>
      </c>
    </row>
    <row r="670" spans="1:17" x14ac:dyDescent="0.2">
      <c r="A670" s="283" t="s">
        <v>1541</v>
      </c>
      <c r="B670" s="283" t="s">
        <v>1542</v>
      </c>
      <c r="C670" s="284" t="s">
        <v>184</v>
      </c>
      <c r="D670" s="358">
        <f t="shared" si="10"/>
        <v>368935.69040000002</v>
      </c>
      <c r="Q670" s="136">
        <v>368935.69040000002</v>
      </c>
    </row>
    <row r="671" spans="1:17" x14ac:dyDescent="0.2">
      <c r="A671" s="283" t="s">
        <v>1543</v>
      </c>
      <c r="B671" s="283" t="s">
        <v>1544</v>
      </c>
      <c r="C671" s="284" t="s">
        <v>184</v>
      </c>
      <c r="D671" s="358">
        <f t="shared" si="10"/>
        <v>23396.9398</v>
      </c>
      <c r="Q671" s="136">
        <v>23396.9398</v>
      </c>
    </row>
    <row r="672" spans="1:17" x14ac:dyDescent="0.2">
      <c r="A672" s="283" t="s">
        <v>1545</v>
      </c>
      <c r="B672" s="283" t="s">
        <v>1209</v>
      </c>
      <c r="C672" s="284" t="s">
        <v>184</v>
      </c>
      <c r="D672" s="358">
        <f t="shared" si="10"/>
        <v>127294.2368</v>
      </c>
      <c r="Q672" s="136">
        <v>127294.2368</v>
      </c>
    </row>
    <row r="673" spans="1:17" x14ac:dyDescent="0.2">
      <c r="A673" s="283" t="s">
        <v>1546</v>
      </c>
      <c r="B673" s="283" t="s">
        <v>1212</v>
      </c>
      <c r="C673" s="284" t="s">
        <v>184</v>
      </c>
      <c r="D673" s="358">
        <f t="shared" si="10"/>
        <v>72327.165099999998</v>
      </c>
      <c r="Q673" s="136">
        <v>72327.165099999998</v>
      </c>
    </row>
    <row r="674" spans="1:17" x14ac:dyDescent="0.2">
      <c r="A674" s="283" t="s">
        <v>1547</v>
      </c>
      <c r="B674" s="283" t="s">
        <v>1548</v>
      </c>
      <c r="C674" s="284" t="s">
        <v>184</v>
      </c>
      <c r="D674" s="358">
        <f t="shared" si="10"/>
        <v>193643.05179999999</v>
      </c>
      <c r="Q674" s="136">
        <v>193643.05179999999</v>
      </c>
    </row>
    <row r="675" spans="1:17" x14ac:dyDescent="0.2">
      <c r="A675" s="283" t="s">
        <v>1549</v>
      </c>
      <c r="B675" s="283" t="s">
        <v>6</v>
      </c>
      <c r="C675" s="284" t="s">
        <v>184</v>
      </c>
      <c r="D675" s="358">
        <f t="shared" si="10"/>
        <v>123771.8452</v>
      </c>
      <c r="Q675" s="136">
        <v>123771.8452</v>
      </c>
    </row>
    <row r="676" spans="1:17" x14ac:dyDescent="0.2">
      <c r="A676" s="283" t="s">
        <v>1550</v>
      </c>
      <c r="B676" s="283" t="s">
        <v>1551</v>
      </c>
      <c r="C676" s="284" t="s">
        <v>184</v>
      </c>
      <c r="D676" s="358">
        <f t="shared" si="10"/>
        <v>211068.62220000001</v>
      </c>
      <c r="Q676" s="136">
        <v>211068.62220000001</v>
      </c>
    </row>
    <row r="677" spans="1:17" x14ac:dyDescent="0.2">
      <c r="A677" s="283" t="s">
        <v>604</v>
      </c>
      <c r="B677" s="283" t="s">
        <v>1552</v>
      </c>
      <c r="C677" s="284" t="s">
        <v>184</v>
      </c>
      <c r="D677" s="358">
        <f t="shared" si="10"/>
        <v>34742.870000000003</v>
      </c>
      <c r="Q677" s="136">
        <v>34742.870000000003</v>
      </c>
    </row>
    <row r="678" spans="1:17" ht="25.5" x14ac:dyDescent="0.2">
      <c r="A678" s="283" t="s">
        <v>1553</v>
      </c>
      <c r="B678" s="283" t="s">
        <v>1554</v>
      </c>
      <c r="C678" s="284" t="s">
        <v>184</v>
      </c>
      <c r="D678" s="358">
        <f t="shared" si="10"/>
        <v>6336900</v>
      </c>
      <c r="Q678" s="136">
        <v>6336900</v>
      </c>
    </row>
    <row r="679" spans="1:17" x14ac:dyDescent="0.2">
      <c r="A679" s="283" t="s">
        <v>1555</v>
      </c>
      <c r="B679" s="283" t="s">
        <v>1556</v>
      </c>
      <c r="C679" s="284" t="s">
        <v>184</v>
      </c>
      <c r="D679" s="358">
        <f t="shared" si="10"/>
        <v>190107</v>
      </c>
      <c r="Q679" s="136">
        <v>190107</v>
      </c>
    </row>
    <row r="680" spans="1:17" x14ac:dyDescent="0.2">
      <c r="A680" s="283" t="s">
        <v>1557</v>
      </c>
      <c r="B680" s="283" t="s">
        <v>1558</v>
      </c>
      <c r="C680" s="284" t="s">
        <v>184</v>
      </c>
      <c r="D680" s="358">
        <f t="shared" si="10"/>
        <v>2867790</v>
      </c>
      <c r="Q680" s="136">
        <v>2867790</v>
      </c>
    </row>
    <row r="681" spans="1:17" ht="25.5" x14ac:dyDescent="0.2">
      <c r="A681" s="283" t="s">
        <v>1559</v>
      </c>
      <c r="B681" s="283" t="s">
        <v>1560</v>
      </c>
      <c r="C681" s="284" t="s">
        <v>184</v>
      </c>
      <c r="D681" s="358">
        <f t="shared" si="10"/>
        <v>1763770.5</v>
      </c>
      <c r="Q681" s="136">
        <v>1763770.5</v>
      </c>
    </row>
    <row r="682" spans="1:17" x14ac:dyDescent="0.2">
      <c r="A682" s="283" t="s">
        <v>1561</v>
      </c>
      <c r="B682" s="283" t="s">
        <v>1562</v>
      </c>
      <c r="C682" s="284" t="s">
        <v>184</v>
      </c>
      <c r="D682" s="358">
        <f t="shared" si="10"/>
        <v>1700</v>
      </c>
      <c r="Q682" s="136">
        <v>1700</v>
      </c>
    </row>
    <row r="683" spans="1:17" x14ac:dyDescent="0.2">
      <c r="A683" s="283" t="s">
        <v>1563</v>
      </c>
      <c r="B683" s="283" t="s">
        <v>1564</v>
      </c>
      <c r="C683" s="284" t="s">
        <v>184</v>
      </c>
      <c r="D683" s="358">
        <f t="shared" si="10"/>
        <v>360</v>
      </c>
      <c r="Q683" s="136">
        <v>360</v>
      </c>
    </row>
    <row r="684" spans="1:17" x14ac:dyDescent="0.2">
      <c r="A684" s="283" t="s">
        <v>1565</v>
      </c>
      <c r="B684" s="283" t="s">
        <v>1566</v>
      </c>
      <c r="C684" s="284" t="s">
        <v>184</v>
      </c>
      <c r="D684" s="358">
        <f t="shared" si="10"/>
        <v>16000</v>
      </c>
      <c r="Q684" s="136">
        <v>16000</v>
      </c>
    </row>
    <row r="685" spans="1:17" x14ac:dyDescent="0.2">
      <c r="A685" s="283" t="s">
        <v>1567</v>
      </c>
      <c r="B685" s="283" t="s">
        <v>1568</v>
      </c>
      <c r="C685" s="284" t="s">
        <v>301</v>
      </c>
      <c r="D685" s="358">
        <f t="shared" si="10"/>
        <v>7.35</v>
      </c>
      <c r="Q685" s="136">
        <v>7.35</v>
      </c>
    </row>
    <row r="686" spans="1:17" x14ac:dyDescent="0.2">
      <c r="A686" s="283" t="s">
        <v>1569</v>
      </c>
      <c r="B686" s="283" t="s">
        <v>1570</v>
      </c>
      <c r="C686" s="284" t="s">
        <v>301</v>
      </c>
      <c r="D686" s="358">
        <f t="shared" si="10"/>
        <v>7.58</v>
      </c>
      <c r="Q686" s="136">
        <v>7.58</v>
      </c>
    </row>
    <row r="687" spans="1:17" x14ac:dyDescent="0.2">
      <c r="A687" s="283" t="s">
        <v>1571</v>
      </c>
      <c r="B687" s="283" t="s">
        <v>1572</v>
      </c>
      <c r="C687" s="284" t="s">
        <v>16</v>
      </c>
      <c r="D687" s="358">
        <f t="shared" si="10"/>
        <v>4.4119000000000002</v>
      </c>
      <c r="Q687" s="136">
        <v>4.4119000000000002</v>
      </c>
    </row>
    <row r="688" spans="1:17" ht="26.25" customHeight="1" x14ac:dyDescent="0.2">
      <c r="A688" s="283" t="s">
        <v>1573</v>
      </c>
      <c r="B688" s="283" t="s">
        <v>1574</v>
      </c>
      <c r="C688" s="284" t="s">
        <v>184</v>
      </c>
      <c r="D688" s="358">
        <f t="shared" si="10"/>
        <v>985740</v>
      </c>
      <c r="Q688" s="136">
        <v>985740</v>
      </c>
    </row>
    <row r="689" spans="1:17" ht="25.5" x14ac:dyDescent="0.2">
      <c r="A689" s="283" t="s">
        <v>1575</v>
      </c>
      <c r="B689" s="283" t="s">
        <v>1576</v>
      </c>
      <c r="C689" s="284" t="s">
        <v>184</v>
      </c>
      <c r="D689" s="358">
        <f t="shared" si="10"/>
        <v>2745990</v>
      </c>
      <c r="Q689" s="136">
        <v>2745990</v>
      </c>
    </row>
    <row r="690" spans="1:17" ht="25.5" x14ac:dyDescent="0.2">
      <c r="A690" s="283" t="s">
        <v>1577</v>
      </c>
      <c r="B690" s="283" t="s">
        <v>1578</v>
      </c>
      <c r="C690" s="284" t="s">
        <v>184</v>
      </c>
      <c r="D690" s="358">
        <f t="shared" si="10"/>
        <v>985740</v>
      </c>
      <c r="Q690" s="136">
        <v>985740</v>
      </c>
    </row>
    <row r="691" spans="1:17" ht="27.75" customHeight="1" x14ac:dyDescent="0.2">
      <c r="A691" s="283" t="s">
        <v>1579</v>
      </c>
      <c r="B691" s="283" t="s">
        <v>1580</v>
      </c>
      <c r="C691" s="284" t="s">
        <v>262</v>
      </c>
      <c r="D691" s="358">
        <f t="shared" si="10"/>
        <v>500</v>
      </c>
      <c r="Q691" s="136">
        <v>500</v>
      </c>
    </row>
    <row r="692" spans="1:17" x14ac:dyDescent="0.2">
      <c r="A692" s="283" t="s">
        <v>1581</v>
      </c>
      <c r="B692" s="283" t="s">
        <v>1582</v>
      </c>
      <c r="C692" s="284" t="s">
        <v>16</v>
      </c>
      <c r="D692" s="358">
        <f t="shared" si="10"/>
        <v>35.36</v>
      </c>
      <c r="Q692" s="136">
        <v>35.36</v>
      </c>
    </row>
    <row r="693" spans="1:17" x14ac:dyDescent="0.2">
      <c r="A693" s="283" t="s">
        <v>1583</v>
      </c>
      <c r="B693" s="283" t="s">
        <v>1584</v>
      </c>
      <c r="C693" s="284" t="s">
        <v>184</v>
      </c>
      <c r="D693" s="358">
        <f t="shared" si="10"/>
        <v>68.343299999999999</v>
      </c>
      <c r="Q693" s="136">
        <v>68.343299999999999</v>
      </c>
    </row>
    <row r="694" spans="1:17" x14ac:dyDescent="0.2">
      <c r="A694" s="283" t="s">
        <v>1585</v>
      </c>
      <c r="B694" s="283" t="s">
        <v>1586</v>
      </c>
      <c r="C694" s="284" t="s">
        <v>184</v>
      </c>
      <c r="D694" s="358">
        <f t="shared" si="10"/>
        <v>90.603300000000004</v>
      </c>
      <c r="Q694" s="136">
        <v>90.603300000000004</v>
      </c>
    </row>
    <row r="695" spans="1:17" x14ac:dyDescent="0.2">
      <c r="A695" s="283" t="s">
        <v>1587</v>
      </c>
      <c r="B695" s="283" t="s">
        <v>1588</v>
      </c>
      <c r="C695" s="284" t="s">
        <v>7</v>
      </c>
      <c r="D695" s="358">
        <f t="shared" si="10"/>
        <v>1.61</v>
      </c>
      <c r="Q695" s="136">
        <v>1.61</v>
      </c>
    </row>
    <row r="696" spans="1:17" x14ac:dyDescent="0.2">
      <c r="A696" s="283" t="s">
        <v>1589</v>
      </c>
      <c r="B696" s="283" t="s">
        <v>1590</v>
      </c>
      <c r="C696" s="284" t="s">
        <v>7</v>
      </c>
      <c r="D696" s="358">
        <f t="shared" si="10"/>
        <v>5.4050000000000002</v>
      </c>
      <c r="Q696" s="136">
        <v>5.4050000000000002</v>
      </c>
    </row>
    <row r="697" spans="1:17" x14ac:dyDescent="0.2">
      <c r="A697" s="283" t="s">
        <v>1591</v>
      </c>
      <c r="B697" s="283" t="s">
        <v>1592</v>
      </c>
      <c r="C697" s="284" t="s">
        <v>184</v>
      </c>
      <c r="D697" s="358">
        <f t="shared" si="10"/>
        <v>24.79</v>
      </c>
      <c r="Q697" s="136">
        <v>24.79</v>
      </c>
    </row>
    <row r="698" spans="1:17" x14ac:dyDescent="0.2">
      <c r="A698" s="283" t="s">
        <v>1593</v>
      </c>
      <c r="B698" s="283" t="s">
        <v>1594</v>
      </c>
      <c r="C698" s="284" t="s">
        <v>7</v>
      </c>
      <c r="D698" s="358">
        <f t="shared" si="10"/>
        <v>103.31</v>
      </c>
      <c r="Q698" s="136">
        <v>103.31</v>
      </c>
    </row>
    <row r="699" spans="1:17" x14ac:dyDescent="0.2">
      <c r="A699" s="283" t="s">
        <v>1595</v>
      </c>
      <c r="B699" s="283" t="s">
        <v>1596</v>
      </c>
      <c r="C699" s="284" t="s">
        <v>7</v>
      </c>
      <c r="D699" s="358">
        <f t="shared" si="10"/>
        <v>52.05</v>
      </c>
      <c r="Q699" s="136">
        <v>52.05</v>
      </c>
    </row>
    <row r="700" spans="1:17" x14ac:dyDescent="0.2">
      <c r="A700" s="283" t="s">
        <v>701</v>
      </c>
      <c r="B700" s="283" t="s">
        <v>1597</v>
      </c>
      <c r="C700" s="284" t="s">
        <v>184</v>
      </c>
      <c r="D700" s="358">
        <f t="shared" si="10"/>
        <v>18.924900000000001</v>
      </c>
      <c r="Q700" s="136">
        <v>18.924900000000001</v>
      </c>
    </row>
    <row r="701" spans="1:17" x14ac:dyDescent="0.2">
      <c r="A701" s="283" t="s">
        <v>703</v>
      </c>
      <c r="B701" s="283" t="s">
        <v>704</v>
      </c>
      <c r="C701" s="284" t="s">
        <v>184</v>
      </c>
      <c r="D701" s="358">
        <f t="shared" si="10"/>
        <v>161.87880000000001</v>
      </c>
      <c r="Q701" s="136">
        <v>161.87880000000001</v>
      </c>
    </row>
    <row r="702" spans="1:17" x14ac:dyDescent="0.2">
      <c r="A702" s="283" t="s">
        <v>1598</v>
      </c>
      <c r="B702" s="283" t="s">
        <v>1599</v>
      </c>
      <c r="C702" s="284" t="s">
        <v>7</v>
      </c>
      <c r="D702" s="358">
        <f t="shared" si="10"/>
        <v>39.49</v>
      </c>
      <c r="Q702" s="136">
        <v>39.49</v>
      </c>
    </row>
    <row r="703" spans="1:17" x14ac:dyDescent="0.2">
      <c r="A703" s="283" t="s">
        <v>709</v>
      </c>
      <c r="B703" s="283" t="s">
        <v>1600</v>
      </c>
      <c r="C703" s="284" t="s">
        <v>184</v>
      </c>
      <c r="D703" s="358">
        <f t="shared" si="10"/>
        <v>8.89</v>
      </c>
      <c r="Q703" s="136">
        <v>8.89</v>
      </c>
    </row>
    <row r="704" spans="1:17" x14ac:dyDescent="0.2">
      <c r="A704" s="283" t="s">
        <v>715</v>
      </c>
      <c r="B704" s="283" t="s">
        <v>1601</v>
      </c>
      <c r="C704" s="284" t="s">
        <v>184</v>
      </c>
      <c r="D704" s="358">
        <f t="shared" si="10"/>
        <v>10.501899999999999</v>
      </c>
      <c r="Q704" s="136">
        <v>10.501899999999999</v>
      </c>
    </row>
    <row r="705" spans="1:17" x14ac:dyDescent="0.2">
      <c r="A705" s="283" t="s">
        <v>717</v>
      </c>
      <c r="B705" s="283" t="s">
        <v>1602</v>
      </c>
      <c r="C705" s="284" t="s">
        <v>184</v>
      </c>
      <c r="D705" s="358">
        <f t="shared" ref="D705:D768" si="11">Q705</f>
        <v>14.938000000000001</v>
      </c>
      <c r="Q705" s="136">
        <v>14.938000000000001</v>
      </c>
    </row>
    <row r="706" spans="1:17" x14ac:dyDescent="0.2">
      <c r="A706" s="283" t="s">
        <v>719</v>
      </c>
      <c r="B706" s="283" t="s">
        <v>1603</v>
      </c>
      <c r="C706" s="284" t="s">
        <v>184</v>
      </c>
      <c r="D706" s="358">
        <f t="shared" si="11"/>
        <v>24.975000000000001</v>
      </c>
      <c r="Q706" s="136">
        <v>24.975000000000001</v>
      </c>
    </row>
    <row r="707" spans="1:17" x14ac:dyDescent="0.2">
      <c r="A707" s="283" t="s">
        <v>1604</v>
      </c>
      <c r="B707" s="283" t="s">
        <v>1605</v>
      </c>
      <c r="C707" s="284" t="s">
        <v>184</v>
      </c>
      <c r="D707" s="358">
        <f t="shared" si="11"/>
        <v>141.245</v>
      </c>
      <c r="Q707" s="136">
        <v>141.245</v>
      </c>
    </row>
    <row r="708" spans="1:17" x14ac:dyDescent="0.2">
      <c r="A708" s="283" t="s">
        <v>1606</v>
      </c>
      <c r="B708" s="283" t="s">
        <v>1607</v>
      </c>
      <c r="C708" s="284" t="s">
        <v>184</v>
      </c>
      <c r="D708" s="358">
        <f t="shared" si="11"/>
        <v>30.541599999999999</v>
      </c>
      <c r="Q708" s="136">
        <v>30.541599999999999</v>
      </c>
    </row>
    <row r="709" spans="1:17" x14ac:dyDescent="0.2">
      <c r="A709" s="283" t="s">
        <v>1608</v>
      </c>
      <c r="B709" s="283" t="s">
        <v>1609</v>
      </c>
      <c r="C709" s="284" t="s">
        <v>184</v>
      </c>
      <c r="D709" s="358">
        <f t="shared" si="11"/>
        <v>26.302199999999999</v>
      </c>
      <c r="Q709" s="136">
        <v>26.302199999999999</v>
      </c>
    </row>
    <row r="710" spans="1:17" x14ac:dyDescent="0.2">
      <c r="A710" s="283" t="s">
        <v>1610</v>
      </c>
      <c r="B710" s="283" t="s">
        <v>1611</v>
      </c>
      <c r="C710" s="284" t="s">
        <v>184</v>
      </c>
      <c r="D710" s="358">
        <f t="shared" si="11"/>
        <v>4.7184999999999997</v>
      </c>
      <c r="Q710" s="136">
        <v>4.7184999999999997</v>
      </c>
    </row>
    <row r="711" spans="1:17" x14ac:dyDescent="0.2">
      <c r="A711" s="283" t="s">
        <v>1612</v>
      </c>
      <c r="B711" s="283" t="s">
        <v>1613</v>
      </c>
      <c r="C711" s="284" t="s">
        <v>7</v>
      </c>
      <c r="D711" s="358">
        <f t="shared" si="11"/>
        <v>6.1211000000000002</v>
      </c>
      <c r="Q711" s="136">
        <v>6.1211000000000002</v>
      </c>
    </row>
    <row r="712" spans="1:17" x14ac:dyDescent="0.2">
      <c r="A712" s="283" t="s">
        <v>1614</v>
      </c>
      <c r="B712" s="283" t="s">
        <v>1615</v>
      </c>
      <c r="C712" s="284" t="s">
        <v>7</v>
      </c>
      <c r="D712" s="358">
        <f t="shared" si="11"/>
        <v>24.947399999999998</v>
      </c>
      <c r="Q712" s="136">
        <v>24.947399999999998</v>
      </c>
    </row>
    <row r="713" spans="1:17" x14ac:dyDescent="0.2">
      <c r="A713" s="283" t="s">
        <v>1616</v>
      </c>
      <c r="B713" s="283" t="s">
        <v>1617</v>
      </c>
      <c r="C713" s="284" t="s">
        <v>7</v>
      </c>
      <c r="D713" s="358">
        <f t="shared" si="11"/>
        <v>39.267600000000002</v>
      </c>
      <c r="Q713" s="136">
        <v>39.267600000000002</v>
      </c>
    </row>
    <row r="714" spans="1:17" x14ac:dyDescent="0.2">
      <c r="A714" s="283" t="s">
        <v>1618</v>
      </c>
      <c r="B714" s="283" t="s">
        <v>1619</v>
      </c>
      <c r="C714" s="284" t="s">
        <v>7</v>
      </c>
      <c r="D714" s="358">
        <f t="shared" si="11"/>
        <v>76.823999999999998</v>
      </c>
      <c r="Q714" s="136">
        <v>76.823999999999998</v>
      </c>
    </row>
    <row r="715" spans="1:17" x14ac:dyDescent="0.2">
      <c r="A715" s="283" t="s">
        <v>1620</v>
      </c>
      <c r="B715" s="283" t="s">
        <v>1621</v>
      </c>
      <c r="C715" s="284" t="s">
        <v>184</v>
      </c>
      <c r="D715" s="358">
        <f t="shared" si="11"/>
        <v>1.8673</v>
      </c>
      <c r="Q715" s="136">
        <v>1.8673</v>
      </c>
    </row>
    <row r="716" spans="1:17" x14ac:dyDescent="0.2">
      <c r="A716" s="283" t="s">
        <v>1622</v>
      </c>
      <c r="B716" s="283" t="s">
        <v>1623</v>
      </c>
      <c r="C716" s="284" t="s">
        <v>184</v>
      </c>
      <c r="D716" s="358">
        <f t="shared" si="11"/>
        <v>3.7561</v>
      </c>
      <c r="Q716" s="136">
        <v>3.7561</v>
      </c>
    </row>
    <row r="717" spans="1:17" x14ac:dyDescent="0.2">
      <c r="A717" s="283" t="s">
        <v>1624</v>
      </c>
      <c r="B717" s="283" t="s">
        <v>1625</v>
      </c>
      <c r="C717" s="284" t="s">
        <v>184</v>
      </c>
      <c r="D717" s="358">
        <f t="shared" si="11"/>
        <v>31.161899999999999</v>
      </c>
      <c r="Q717" s="136">
        <v>31.161899999999999</v>
      </c>
    </row>
    <row r="718" spans="1:17" x14ac:dyDescent="0.2">
      <c r="A718" s="283" t="s">
        <v>1626</v>
      </c>
      <c r="B718" s="283" t="s">
        <v>1627</v>
      </c>
      <c r="C718" s="284" t="s">
        <v>184</v>
      </c>
      <c r="D718" s="358">
        <f t="shared" si="11"/>
        <v>102.6</v>
      </c>
      <c r="Q718" s="136">
        <v>102.6</v>
      </c>
    </row>
    <row r="719" spans="1:17" x14ac:dyDescent="0.2">
      <c r="A719" s="283" t="s">
        <v>1628</v>
      </c>
      <c r="B719" s="283" t="s">
        <v>1629</v>
      </c>
      <c r="C719" s="284" t="s">
        <v>184</v>
      </c>
      <c r="D719" s="358">
        <f t="shared" si="11"/>
        <v>131.74449999999999</v>
      </c>
      <c r="Q719" s="136">
        <v>131.74449999999999</v>
      </c>
    </row>
    <row r="720" spans="1:17" x14ac:dyDescent="0.2">
      <c r="A720" s="283" t="s">
        <v>1630</v>
      </c>
      <c r="B720" s="283" t="s">
        <v>1631</v>
      </c>
      <c r="C720" s="284" t="s">
        <v>184</v>
      </c>
      <c r="D720" s="358">
        <f t="shared" si="11"/>
        <v>274.39229999999998</v>
      </c>
      <c r="Q720" s="136">
        <v>274.39229999999998</v>
      </c>
    </row>
    <row r="721" spans="1:17" x14ac:dyDescent="0.2">
      <c r="A721" s="283" t="s">
        <v>1632</v>
      </c>
      <c r="B721" s="283" t="s">
        <v>1633</v>
      </c>
      <c r="C721" s="284" t="s">
        <v>184</v>
      </c>
      <c r="D721" s="358">
        <f t="shared" si="11"/>
        <v>8.9496000000000002</v>
      </c>
      <c r="Q721" s="136">
        <v>8.9496000000000002</v>
      </c>
    </row>
    <row r="722" spans="1:17" x14ac:dyDescent="0.2">
      <c r="A722" s="283" t="s">
        <v>1634</v>
      </c>
      <c r="B722" s="283" t="s">
        <v>1635</v>
      </c>
      <c r="C722" s="284" t="s">
        <v>184</v>
      </c>
      <c r="D722" s="358">
        <f t="shared" si="11"/>
        <v>5.4725999999999999</v>
      </c>
      <c r="Q722" s="136">
        <v>5.4725999999999999</v>
      </c>
    </row>
    <row r="723" spans="1:17" x14ac:dyDescent="0.2">
      <c r="A723" s="283" t="s">
        <v>1636</v>
      </c>
      <c r="B723" s="283" t="s">
        <v>1637</v>
      </c>
      <c r="C723" s="284" t="s">
        <v>184</v>
      </c>
      <c r="D723" s="358">
        <f t="shared" si="11"/>
        <v>25.970400000000001</v>
      </c>
      <c r="Q723" s="136">
        <v>25.970400000000001</v>
      </c>
    </row>
    <row r="724" spans="1:17" x14ac:dyDescent="0.2">
      <c r="A724" s="283" t="s">
        <v>1638</v>
      </c>
      <c r="B724" s="283" t="s">
        <v>702</v>
      </c>
      <c r="C724" s="284" t="s">
        <v>184</v>
      </c>
      <c r="D724" s="358">
        <f t="shared" si="11"/>
        <v>114.795</v>
      </c>
      <c r="Q724" s="136">
        <v>114.795</v>
      </c>
    </row>
    <row r="725" spans="1:17" x14ac:dyDescent="0.2">
      <c r="A725" s="283" t="s">
        <v>1639</v>
      </c>
      <c r="B725" s="283" t="s">
        <v>1640</v>
      </c>
      <c r="C725" s="284" t="s">
        <v>184</v>
      </c>
      <c r="D725" s="358">
        <f t="shared" si="11"/>
        <v>67.77</v>
      </c>
      <c r="Q725" s="136">
        <v>67.77</v>
      </c>
    </row>
    <row r="726" spans="1:17" x14ac:dyDescent="0.2">
      <c r="A726" s="283" t="s">
        <v>1641</v>
      </c>
      <c r="B726" s="283" t="s">
        <v>1642</v>
      </c>
      <c r="C726" s="284" t="s">
        <v>184</v>
      </c>
      <c r="D726" s="358">
        <f t="shared" si="11"/>
        <v>162.81</v>
      </c>
      <c r="Q726" s="136">
        <v>162.81</v>
      </c>
    </row>
    <row r="727" spans="1:17" x14ac:dyDescent="0.2">
      <c r="A727" s="283" t="s">
        <v>1643</v>
      </c>
      <c r="B727" s="283" t="s">
        <v>1644</v>
      </c>
      <c r="C727" s="284" t="s">
        <v>733</v>
      </c>
      <c r="D727" s="358">
        <f t="shared" si="11"/>
        <v>1398.02</v>
      </c>
      <c r="Q727" s="136">
        <v>1398.02</v>
      </c>
    </row>
    <row r="728" spans="1:17" x14ac:dyDescent="0.2">
      <c r="A728" s="283" t="s">
        <v>1645</v>
      </c>
      <c r="B728" s="283" t="s">
        <v>1646</v>
      </c>
      <c r="C728" s="284" t="s">
        <v>184</v>
      </c>
      <c r="D728" s="358">
        <f t="shared" si="11"/>
        <v>5.66</v>
      </c>
      <c r="Q728" s="136">
        <v>5.66</v>
      </c>
    </row>
    <row r="729" spans="1:17" x14ac:dyDescent="0.2">
      <c r="A729" s="283" t="s">
        <v>1647</v>
      </c>
      <c r="B729" s="283" t="s">
        <v>1648</v>
      </c>
      <c r="C729" s="284" t="s">
        <v>184</v>
      </c>
      <c r="D729" s="358">
        <f t="shared" si="11"/>
        <v>6.32</v>
      </c>
      <c r="Q729" s="136">
        <v>6.32</v>
      </c>
    </row>
    <row r="730" spans="1:17" x14ac:dyDescent="0.2">
      <c r="A730" s="283" t="s">
        <v>1649</v>
      </c>
      <c r="B730" s="283" t="s">
        <v>1650</v>
      </c>
      <c r="C730" s="284" t="s">
        <v>184</v>
      </c>
      <c r="D730" s="358">
        <f t="shared" si="11"/>
        <v>14.76</v>
      </c>
      <c r="Q730" s="136">
        <v>14.76</v>
      </c>
    </row>
    <row r="731" spans="1:17" x14ac:dyDescent="0.2">
      <c r="A731" s="283" t="s">
        <v>1651</v>
      </c>
      <c r="B731" s="283" t="s">
        <v>1652</v>
      </c>
      <c r="C731" s="284" t="s">
        <v>733</v>
      </c>
      <c r="D731" s="358">
        <f t="shared" si="11"/>
        <v>2000</v>
      </c>
      <c r="Q731" s="136">
        <v>2000</v>
      </c>
    </row>
    <row r="732" spans="1:17" x14ac:dyDescent="0.2">
      <c r="A732" s="283" t="s">
        <v>1653</v>
      </c>
      <c r="B732" s="283" t="s">
        <v>1654</v>
      </c>
      <c r="C732" s="284" t="s">
        <v>733</v>
      </c>
      <c r="D732" s="358">
        <f t="shared" si="11"/>
        <v>2200</v>
      </c>
      <c r="Q732" s="136">
        <v>2200</v>
      </c>
    </row>
    <row r="733" spans="1:17" x14ac:dyDescent="0.2">
      <c r="A733" s="283" t="s">
        <v>1655</v>
      </c>
      <c r="B733" s="283" t="s">
        <v>1656</v>
      </c>
      <c r="C733" s="284" t="s">
        <v>733</v>
      </c>
      <c r="D733" s="358">
        <f t="shared" si="11"/>
        <v>2300</v>
      </c>
      <c r="Q733" s="136">
        <v>2300</v>
      </c>
    </row>
    <row r="734" spans="1:17" x14ac:dyDescent="0.2">
      <c r="A734" s="283" t="s">
        <v>1657</v>
      </c>
      <c r="B734" s="283" t="s">
        <v>1658</v>
      </c>
      <c r="C734" s="284" t="s">
        <v>733</v>
      </c>
      <c r="D734" s="358">
        <f t="shared" si="11"/>
        <v>1900</v>
      </c>
      <c r="Q734" s="136">
        <v>1900</v>
      </c>
    </row>
    <row r="735" spans="1:17" ht="25.5" x14ac:dyDescent="0.2">
      <c r="A735" s="283" t="s">
        <v>1659</v>
      </c>
      <c r="B735" s="283" t="s">
        <v>1660</v>
      </c>
      <c r="C735" s="284" t="s">
        <v>16</v>
      </c>
      <c r="D735" s="358">
        <f t="shared" si="11"/>
        <v>1.72</v>
      </c>
      <c r="Q735" s="136">
        <v>1.72</v>
      </c>
    </row>
    <row r="736" spans="1:17" x14ac:dyDescent="0.2">
      <c r="A736" s="283" t="s">
        <v>1661</v>
      </c>
      <c r="B736" s="283" t="s">
        <v>1662</v>
      </c>
      <c r="C736" s="284" t="s">
        <v>16</v>
      </c>
      <c r="D736" s="358">
        <f t="shared" si="11"/>
        <v>9.6927000000000003</v>
      </c>
      <c r="Q736" s="136">
        <v>9.6927000000000003</v>
      </c>
    </row>
    <row r="737" spans="1:17" x14ac:dyDescent="0.2">
      <c r="A737" s="283" t="s">
        <v>1663</v>
      </c>
      <c r="B737" s="283" t="s">
        <v>1664</v>
      </c>
      <c r="C737" s="284" t="s">
        <v>16</v>
      </c>
      <c r="D737" s="358">
        <f t="shared" si="11"/>
        <v>9.6927000000000003</v>
      </c>
      <c r="Q737" s="136">
        <v>9.6927000000000003</v>
      </c>
    </row>
    <row r="738" spans="1:17" x14ac:dyDescent="0.2">
      <c r="A738" s="283" t="s">
        <v>1665</v>
      </c>
      <c r="B738" s="283" t="s">
        <v>1666</v>
      </c>
      <c r="C738" s="284" t="s">
        <v>16</v>
      </c>
      <c r="D738" s="358">
        <f t="shared" si="11"/>
        <v>1.57</v>
      </c>
      <c r="Q738" s="136">
        <v>1.57</v>
      </c>
    </row>
    <row r="739" spans="1:17" x14ac:dyDescent="0.2">
      <c r="A739" s="283" t="s">
        <v>1667</v>
      </c>
      <c r="B739" s="283" t="s">
        <v>1668</v>
      </c>
      <c r="C739" s="284" t="s">
        <v>16</v>
      </c>
      <c r="D739" s="358">
        <f t="shared" si="11"/>
        <v>29.09</v>
      </c>
      <c r="Q739" s="136">
        <v>29.09</v>
      </c>
    </row>
    <row r="740" spans="1:17" x14ac:dyDescent="0.2">
      <c r="A740" s="283" t="s">
        <v>1669</v>
      </c>
      <c r="B740" s="283" t="s">
        <v>1670</v>
      </c>
      <c r="C740" s="284" t="s">
        <v>184</v>
      </c>
      <c r="D740" s="358">
        <f t="shared" si="11"/>
        <v>51.12</v>
      </c>
      <c r="Q740" s="136">
        <v>51.12</v>
      </c>
    </row>
    <row r="741" spans="1:17" x14ac:dyDescent="0.2">
      <c r="A741" s="283" t="s">
        <v>1671</v>
      </c>
      <c r="B741" s="283" t="s">
        <v>1672</v>
      </c>
      <c r="C741" s="284" t="s">
        <v>184</v>
      </c>
      <c r="D741" s="358">
        <f t="shared" si="11"/>
        <v>7.9965999999999999</v>
      </c>
      <c r="Q741" s="136">
        <v>7.9965999999999999</v>
      </c>
    </row>
    <row r="742" spans="1:17" ht="28.5" customHeight="1" x14ac:dyDescent="0.2">
      <c r="A742" s="283" t="s">
        <v>1673</v>
      </c>
      <c r="B742" s="283" t="s">
        <v>1674</v>
      </c>
      <c r="C742" s="284" t="s">
        <v>184</v>
      </c>
      <c r="D742" s="358">
        <f t="shared" si="11"/>
        <v>546.13909999999998</v>
      </c>
      <c r="Q742" s="136">
        <v>546.13909999999998</v>
      </c>
    </row>
    <row r="743" spans="1:17" x14ac:dyDescent="0.2">
      <c r="A743" s="283" t="s">
        <v>1675</v>
      </c>
      <c r="B743" s="283" t="s">
        <v>1676</v>
      </c>
      <c r="C743" s="284" t="s">
        <v>184</v>
      </c>
      <c r="D743" s="358">
        <f t="shared" si="11"/>
        <v>330.58</v>
      </c>
      <c r="Q743" s="136">
        <v>330.58</v>
      </c>
    </row>
    <row r="744" spans="1:17" x14ac:dyDescent="0.2">
      <c r="A744" s="283" t="s">
        <v>1677</v>
      </c>
      <c r="B744" s="283" t="s">
        <v>1678</v>
      </c>
      <c r="C744" s="284" t="s">
        <v>184</v>
      </c>
      <c r="D744" s="358">
        <f t="shared" si="11"/>
        <v>32.061300000000003</v>
      </c>
      <c r="Q744" s="136">
        <v>32.061300000000003</v>
      </c>
    </row>
    <row r="745" spans="1:17" x14ac:dyDescent="0.2">
      <c r="A745" s="283" t="s">
        <v>1679</v>
      </c>
      <c r="B745" s="283" t="s">
        <v>1680</v>
      </c>
      <c r="C745" s="284" t="s">
        <v>7</v>
      </c>
      <c r="D745" s="358">
        <f t="shared" si="11"/>
        <v>2.6093999999999999</v>
      </c>
      <c r="Q745" s="136">
        <v>2.6093999999999999</v>
      </c>
    </row>
    <row r="746" spans="1:17" ht="29.25" customHeight="1" x14ac:dyDescent="0.2">
      <c r="A746" s="283" t="s">
        <v>1681</v>
      </c>
      <c r="B746" s="283" t="s">
        <v>1682</v>
      </c>
      <c r="C746" s="284" t="s">
        <v>184</v>
      </c>
      <c r="D746" s="358">
        <f t="shared" si="11"/>
        <v>18223.140100000001</v>
      </c>
      <c r="Q746" s="136">
        <v>18223.140100000001</v>
      </c>
    </row>
    <row r="747" spans="1:17" ht="25.5" x14ac:dyDescent="0.2">
      <c r="A747" s="283" t="s">
        <v>1683</v>
      </c>
      <c r="B747" s="283" t="s">
        <v>1684</v>
      </c>
      <c r="C747" s="284" t="s">
        <v>184</v>
      </c>
      <c r="D747" s="358">
        <f t="shared" si="11"/>
        <v>20073.919999999998</v>
      </c>
      <c r="Q747" s="136">
        <v>20073.919999999998</v>
      </c>
    </row>
    <row r="748" spans="1:17" x14ac:dyDescent="0.2">
      <c r="A748" s="283" t="s">
        <v>1685</v>
      </c>
      <c r="B748" s="283" t="s">
        <v>1686</v>
      </c>
      <c r="C748" s="284" t="s">
        <v>184</v>
      </c>
      <c r="D748" s="358">
        <f t="shared" si="11"/>
        <v>15002.48</v>
      </c>
      <c r="Q748" s="136">
        <v>15002.48</v>
      </c>
    </row>
    <row r="749" spans="1:17" x14ac:dyDescent="0.2">
      <c r="A749" s="283" t="s">
        <v>1687</v>
      </c>
      <c r="B749" s="283" t="s">
        <v>1688</v>
      </c>
      <c r="C749" s="284" t="s">
        <v>184</v>
      </c>
      <c r="D749" s="358">
        <f t="shared" si="11"/>
        <v>21765.2899</v>
      </c>
      <c r="Q749" s="136">
        <v>21765.2899</v>
      </c>
    </row>
    <row r="750" spans="1:17" x14ac:dyDescent="0.2">
      <c r="A750" s="283" t="s">
        <v>1689</v>
      </c>
      <c r="B750" s="283" t="s">
        <v>1690</v>
      </c>
      <c r="C750" s="284" t="s">
        <v>184</v>
      </c>
      <c r="D750" s="358">
        <f t="shared" si="11"/>
        <v>1334.71</v>
      </c>
      <c r="Q750" s="136">
        <v>1334.71</v>
      </c>
    </row>
    <row r="751" spans="1:17" x14ac:dyDescent="0.2">
      <c r="A751" s="283" t="s">
        <v>1691</v>
      </c>
      <c r="B751" s="283" t="s">
        <v>1692</v>
      </c>
      <c r="C751" s="284" t="s">
        <v>301</v>
      </c>
      <c r="D751" s="358">
        <f t="shared" si="11"/>
        <v>13.0533</v>
      </c>
      <c r="Q751" s="136">
        <v>13.0533</v>
      </c>
    </row>
    <row r="752" spans="1:17" x14ac:dyDescent="0.2">
      <c r="A752" s="283" t="s">
        <v>1693</v>
      </c>
      <c r="B752" s="283" t="s">
        <v>1694</v>
      </c>
      <c r="C752" s="284" t="s">
        <v>301</v>
      </c>
      <c r="D752" s="358">
        <f t="shared" si="11"/>
        <v>76.388900000000007</v>
      </c>
      <c r="Q752" s="136">
        <v>76.388900000000007</v>
      </c>
    </row>
    <row r="753" spans="1:17" x14ac:dyDescent="0.2">
      <c r="A753" s="283" t="s">
        <v>1695</v>
      </c>
      <c r="B753" s="283" t="s">
        <v>1696</v>
      </c>
      <c r="C753" s="284" t="s">
        <v>301</v>
      </c>
      <c r="D753" s="358">
        <f t="shared" si="11"/>
        <v>57.556699999999999</v>
      </c>
      <c r="Q753" s="136">
        <v>57.556699999999999</v>
      </c>
    </row>
    <row r="754" spans="1:17" x14ac:dyDescent="0.2">
      <c r="A754" s="283" t="s">
        <v>1697</v>
      </c>
      <c r="B754" s="283" t="s">
        <v>1698</v>
      </c>
      <c r="C754" s="284" t="s">
        <v>184</v>
      </c>
      <c r="D754" s="358">
        <f t="shared" si="11"/>
        <v>285.00659999999999</v>
      </c>
      <c r="Q754" s="136">
        <v>285.00659999999999</v>
      </c>
    </row>
    <row r="755" spans="1:17" x14ac:dyDescent="0.2">
      <c r="A755" s="283" t="s">
        <v>1699</v>
      </c>
      <c r="B755" s="283" t="s">
        <v>1700</v>
      </c>
      <c r="C755" s="284" t="s">
        <v>301</v>
      </c>
      <c r="D755" s="358">
        <f t="shared" si="11"/>
        <v>156.78</v>
      </c>
      <c r="Q755" s="136">
        <v>156.78</v>
      </c>
    </row>
    <row r="756" spans="1:17" x14ac:dyDescent="0.2">
      <c r="A756" s="283" t="s">
        <v>1701</v>
      </c>
      <c r="B756" s="283" t="s">
        <v>1702</v>
      </c>
      <c r="C756" s="284" t="s">
        <v>301</v>
      </c>
      <c r="D756" s="358">
        <f t="shared" si="11"/>
        <v>42.085000000000001</v>
      </c>
      <c r="Q756" s="136">
        <v>42.085000000000001</v>
      </c>
    </row>
    <row r="757" spans="1:17" x14ac:dyDescent="0.2">
      <c r="A757" s="283" t="s">
        <v>1703</v>
      </c>
      <c r="B757" s="283" t="s">
        <v>1704</v>
      </c>
      <c r="C757" s="284" t="s">
        <v>301</v>
      </c>
      <c r="D757" s="358">
        <f t="shared" si="11"/>
        <v>58.23</v>
      </c>
      <c r="Q757" s="136">
        <v>58.23</v>
      </c>
    </row>
    <row r="758" spans="1:17" x14ac:dyDescent="0.2">
      <c r="A758" s="283" t="s">
        <v>1705</v>
      </c>
      <c r="B758" s="283" t="s">
        <v>1706</v>
      </c>
      <c r="C758" s="284" t="s">
        <v>301</v>
      </c>
      <c r="D758" s="358">
        <f t="shared" si="11"/>
        <v>54.15</v>
      </c>
      <c r="Q758" s="136">
        <v>54.15</v>
      </c>
    </row>
    <row r="759" spans="1:17" x14ac:dyDescent="0.2">
      <c r="A759" s="283" t="s">
        <v>1707</v>
      </c>
      <c r="B759" s="283" t="s">
        <v>1708</v>
      </c>
      <c r="C759" s="284" t="s">
        <v>184</v>
      </c>
      <c r="D759" s="358">
        <f t="shared" si="11"/>
        <v>11.44</v>
      </c>
      <c r="Q759" s="136">
        <v>11.44</v>
      </c>
    </row>
    <row r="760" spans="1:17" x14ac:dyDescent="0.2">
      <c r="A760" s="283" t="s">
        <v>1709</v>
      </c>
      <c r="B760" s="283" t="s">
        <v>1710</v>
      </c>
      <c r="C760" s="284" t="s">
        <v>184</v>
      </c>
      <c r="D760" s="358">
        <f t="shared" si="11"/>
        <v>35.5</v>
      </c>
      <c r="Q760" s="136">
        <v>35.5</v>
      </c>
    </row>
    <row r="761" spans="1:17" x14ac:dyDescent="0.2">
      <c r="A761" s="283" t="s">
        <v>1711</v>
      </c>
      <c r="B761" s="283" t="s">
        <v>1712</v>
      </c>
      <c r="C761" s="284" t="s">
        <v>184</v>
      </c>
      <c r="D761" s="358">
        <f t="shared" si="11"/>
        <v>42.22</v>
      </c>
      <c r="Q761" s="136">
        <v>42.22</v>
      </c>
    </row>
    <row r="762" spans="1:17" x14ac:dyDescent="0.2">
      <c r="A762" s="283" t="s">
        <v>1713</v>
      </c>
      <c r="B762" s="283" t="s">
        <v>1714</v>
      </c>
      <c r="C762" s="284" t="s">
        <v>184</v>
      </c>
      <c r="D762" s="358">
        <f t="shared" si="11"/>
        <v>37.93</v>
      </c>
      <c r="Q762" s="136">
        <v>37.93</v>
      </c>
    </row>
    <row r="763" spans="1:17" x14ac:dyDescent="0.2">
      <c r="A763" s="283" t="s">
        <v>1715</v>
      </c>
      <c r="B763" s="283" t="s">
        <v>1716</v>
      </c>
      <c r="C763" s="284" t="s">
        <v>184</v>
      </c>
      <c r="D763" s="358">
        <f t="shared" si="11"/>
        <v>20.75</v>
      </c>
      <c r="Q763" s="136">
        <v>20.75</v>
      </c>
    </row>
    <row r="764" spans="1:17" x14ac:dyDescent="0.2">
      <c r="A764" s="283" t="s">
        <v>1717</v>
      </c>
      <c r="B764" s="283" t="s">
        <v>1718</v>
      </c>
      <c r="C764" s="284" t="s">
        <v>301</v>
      </c>
      <c r="D764" s="358">
        <f t="shared" si="11"/>
        <v>54.01</v>
      </c>
      <c r="Q764" s="136">
        <v>54.01</v>
      </c>
    </row>
    <row r="765" spans="1:17" x14ac:dyDescent="0.2">
      <c r="A765" s="283" t="s">
        <v>1719</v>
      </c>
      <c r="B765" s="283" t="s">
        <v>1720</v>
      </c>
      <c r="C765" s="284" t="s">
        <v>184</v>
      </c>
      <c r="D765" s="358">
        <f t="shared" si="11"/>
        <v>511.5958</v>
      </c>
      <c r="Q765" s="136">
        <v>511.5958</v>
      </c>
    </row>
    <row r="766" spans="1:17" x14ac:dyDescent="0.2">
      <c r="A766" s="283" t="s">
        <v>1721</v>
      </c>
      <c r="B766" s="283" t="s">
        <v>1722</v>
      </c>
      <c r="C766" s="284" t="s">
        <v>184</v>
      </c>
      <c r="D766" s="358">
        <f t="shared" si="11"/>
        <v>273.00639999999999</v>
      </c>
      <c r="Q766" s="136">
        <v>273.00639999999999</v>
      </c>
    </row>
    <row r="767" spans="1:17" x14ac:dyDescent="0.2">
      <c r="A767" s="283" t="s">
        <v>1723</v>
      </c>
      <c r="B767" s="283" t="s">
        <v>1724</v>
      </c>
      <c r="C767" s="284" t="s">
        <v>184</v>
      </c>
      <c r="D767" s="358">
        <f t="shared" si="11"/>
        <v>227.09200000000001</v>
      </c>
      <c r="Q767" s="136">
        <v>227.09200000000001</v>
      </c>
    </row>
    <row r="768" spans="1:17" x14ac:dyDescent="0.2">
      <c r="A768" s="283" t="s">
        <v>1725</v>
      </c>
      <c r="B768" s="283" t="s">
        <v>1726</v>
      </c>
      <c r="C768" s="284" t="s">
        <v>184</v>
      </c>
      <c r="D768" s="358">
        <f t="shared" si="11"/>
        <v>208.29</v>
      </c>
      <c r="Q768" s="136">
        <v>208.29</v>
      </c>
    </row>
    <row r="769" spans="1:17" x14ac:dyDescent="0.2">
      <c r="A769" s="283" t="s">
        <v>1727</v>
      </c>
      <c r="B769" s="283" t="s">
        <v>1728</v>
      </c>
      <c r="C769" s="284" t="s">
        <v>184</v>
      </c>
      <c r="D769" s="358">
        <f t="shared" ref="D769:D832" si="12">Q769</f>
        <v>809.02</v>
      </c>
      <c r="Q769" s="136">
        <v>809.02</v>
      </c>
    </row>
    <row r="770" spans="1:17" x14ac:dyDescent="0.2">
      <c r="A770" s="283" t="s">
        <v>1729</v>
      </c>
      <c r="B770" s="283" t="s">
        <v>1730</v>
      </c>
      <c r="C770" s="284" t="s">
        <v>184</v>
      </c>
      <c r="D770" s="358">
        <f t="shared" si="12"/>
        <v>1033.06</v>
      </c>
      <c r="Q770" s="136">
        <v>1033.06</v>
      </c>
    </row>
    <row r="771" spans="1:17" ht="25.5" x14ac:dyDescent="0.2">
      <c r="A771" s="283" t="s">
        <v>1731</v>
      </c>
      <c r="B771" s="283" t="s">
        <v>1732</v>
      </c>
      <c r="C771" s="284" t="s">
        <v>184</v>
      </c>
      <c r="D771" s="358">
        <f t="shared" si="12"/>
        <v>1355.37</v>
      </c>
      <c r="Q771" s="136">
        <v>1355.37</v>
      </c>
    </row>
    <row r="772" spans="1:17" x14ac:dyDescent="0.2">
      <c r="A772" s="283" t="s">
        <v>1733</v>
      </c>
      <c r="B772" s="283" t="s">
        <v>1734</v>
      </c>
      <c r="C772" s="284" t="s">
        <v>7</v>
      </c>
      <c r="D772" s="358">
        <f t="shared" si="12"/>
        <v>44.721699999999998</v>
      </c>
      <c r="Q772" s="136">
        <v>44.721699999999998</v>
      </c>
    </row>
    <row r="773" spans="1:17" x14ac:dyDescent="0.2">
      <c r="A773" s="283" t="s">
        <v>1735</v>
      </c>
      <c r="B773" s="283" t="s">
        <v>1736</v>
      </c>
      <c r="C773" s="284" t="s">
        <v>7</v>
      </c>
      <c r="D773" s="358">
        <f t="shared" si="12"/>
        <v>66.235100000000003</v>
      </c>
      <c r="Q773" s="136">
        <v>66.235100000000003</v>
      </c>
    </row>
    <row r="774" spans="1:17" x14ac:dyDescent="0.2">
      <c r="A774" s="283" t="s">
        <v>1737</v>
      </c>
      <c r="B774" s="283" t="s">
        <v>1738</v>
      </c>
      <c r="C774" s="284" t="s">
        <v>7</v>
      </c>
      <c r="D774" s="358">
        <f t="shared" si="12"/>
        <v>60.77</v>
      </c>
      <c r="Q774" s="136">
        <v>60.77</v>
      </c>
    </row>
    <row r="775" spans="1:17" x14ac:dyDescent="0.2">
      <c r="A775" s="283" t="s">
        <v>1739</v>
      </c>
      <c r="B775" s="283" t="s">
        <v>1740</v>
      </c>
      <c r="C775" s="284" t="s">
        <v>7</v>
      </c>
      <c r="D775" s="358">
        <f t="shared" si="12"/>
        <v>91.782700000000006</v>
      </c>
      <c r="Q775" s="136">
        <v>91.782700000000006</v>
      </c>
    </row>
    <row r="776" spans="1:17" x14ac:dyDescent="0.2">
      <c r="A776" s="283" t="s">
        <v>1741</v>
      </c>
      <c r="B776" s="283" t="s">
        <v>1742</v>
      </c>
      <c r="C776" s="284" t="s">
        <v>184</v>
      </c>
      <c r="D776" s="358">
        <f t="shared" si="12"/>
        <v>116.5671</v>
      </c>
      <c r="Q776" s="136">
        <v>116.5671</v>
      </c>
    </row>
    <row r="777" spans="1:17" x14ac:dyDescent="0.2">
      <c r="A777" s="283" t="s">
        <v>1743</v>
      </c>
      <c r="B777" s="283" t="s">
        <v>1744</v>
      </c>
      <c r="C777" s="284" t="s">
        <v>7</v>
      </c>
      <c r="D777" s="358">
        <f t="shared" si="12"/>
        <v>318.26</v>
      </c>
      <c r="Q777" s="136">
        <v>318.26</v>
      </c>
    </row>
    <row r="778" spans="1:17" x14ac:dyDescent="0.2">
      <c r="A778" s="283" t="s">
        <v>1745</v>
      </c>
      <c r="B778" s="283" t="s">
        <v>1746</v>
      </c>
      <c r="C778" s="284" t="s">
        <v>7</v>
      </c>
      <c r="D778" s="358">
        <f t="shared" si="12"/>
        <v>367.14</v>
      </c>
      <c r="Q778" s="136">
        <v>367.14</v>
      </c>
    </row>
    <row r="779" spans="1:17" x14ac:dyDescent="0.2">
      <c r="A779" s="283" t="s">
        <v>1747</v>
      </c>
      <c r="B779" s="283" t="s">
        <v>1748</v>
      </c>
      <c r="C779" s="284" t="s">
        <v>7</v>
      </c>
      <c r="D779" s="358">
        <f t="shared" si="12"/>
        <v>585.16999999999996</v>
      </c>
      <c r="Q779" s="136">
        <v>585.16999999999996</v>
      </c>
    </row>
    <row r="780" spans="1:17" x14ac:dyDescent="0.2">
      <c r="A780" s="283" t="s">
        <v>1749</v>
      </c>
      <c r="B780" s="283" t="s">
        <v>1750</v>
      </c>
      <c r="C780" s="284" t="s">
        <v>7</v>
      </c>
      <c r="D780" s="358">
        <f t="shared" si="12"/>
        <v>718.13</v>
      </c>
      <c r="Q780" s="136">
        <v>718.13</v>
      </c>
    </row>
    <row r="781" spans="1:17" x14ac:dyDescent="0.2">
      <c r="A781" s="283" t="s">
        <v>1751</v>
      </c>
      <c r="B781" s="283" t="s">
        <v>1752</v>
      </c>
      <c r="C781" s="284" t="s">
        <v>7</v>
      </c>
      <c r="D781" s="358">
        <f t="shared" si="12"/>
        <v>885.65</v>
      </c>
      <c r="Q781" s="136">
        <v>885.65</v>
      </c>
    </row>
    <row r="782" spans="1:17" x14ac:dyDescent="0.2">
      <c r="A782" s="283" t="s">
        <v>1753</v>
      </c>
      <c r="B782" s="283" t="s">
        <v>1754</v>
      </c>
      <c r="C782" s="284" t="s">
        <v>7</v>
      </c>
      <c r="D782" s="358">
        <f t="shared" si="12"/>
        <v>1274.58</v>
      </c>
      <c r="Q782" s="136">
        <v>1274.58</v>
      </c>
    </row>
    <row r="783" spans="1:17" x14ac:dyDescent="0.2">
      <c r="A783" s="283" t="s">
        <v>1755</v>
      </c>
      <c r="B783" s="283" t="s">
        <v>910</v>
      </c>
      <c r="C783" s="284" t="s">
        <v>184</v>
      </c>
      <c r="D783" s="358">
        <f t="shared" si="12"/>
        <v>305</v>
      </c>
      <c r="Q783" s="136">
        <v>305</v>
      </c>
    </row>
    <row r="784" spans="1:17" ht="25.5" x14ac:dyDescent="0.2">
      <c r="A784" s="283" t="s">
        <v>1756</v>
      </c>
      <c r="B784" s="283" t="s">
        <v>1757</v>
      </c>
      <c r="C784" s="284" t="s">
        <v>184</v>
      </c>
      <c r="D784" s="358">
        <f t="shared" si="12"/>
        <v>186</v>
      </c>
      <c r="Q784" s="136">
        <v>186</v>
      </c>
    </row>
    <row r="785" spans="1:17" x14ac:dyDescent="0.2">
      <c r="A785" s="283" t="s">
        <v>1758</v>
      </c>
      <c r="B785" s="283" t="s">
        <v>912</v>
      </c>
      <c r="C785" s="284" t="s">
        <v>184</v>
      </c>
      <c r="D785" s="358">
        <f t="shared" si="12"/>
        <v>511.03550000000001</v>
      </c>
      <c r="Q785" s="136">
        <v>511.03550000000001</v>
      </c>
    </row>
    <row r="786" spans="1:17" x14ac:dyDescent="0.2">
      <c r="A786" s="283" t="s">
        <v>1759</v>
      </c>
      <c r="B786" s="283" t="s">
        <v>915</v>
      </c>
      <c r="C786" s="284" t="s">
        <v>7</v>
      </c>
      <c r="D786" s="358">
        <f t="shared" si="12"/>
        <v>76.613200000000006</v>
      </c>
      <c r="Q786" s="136">
        <v>76.613200000000006</v>
      </c>
    </row>
    <row r="787" spans="1:17" x14ac:dyDescent="0.2">
      <c r="A787" s="283" t="s">
        <v>1760</v>
      </c>
      <c r="B787" s="283" t="s">
        <v>917</v>
      </c>
      <c r="C787" s="284" t="s">
        <v>7</v>
      </c>
      <c r="D787" s="358">
        <f t="shared" si="12"/>
        <v>23.475999999999999</v>
      </c>
      <c r="Q787" s="136">
        <v>23.475999999999999</v>
      </c>
    </row>
    <row r="788" spans="1:17" x14ac:dyDescent="0.2">
      <c r="A788" s="283" t="s">
        <v>1761</v>
      </c>
      <c r="B788" s="283" t="s">
        <v>919</v>
      </c>
      <c r="C788" s="284" t="s">
        <v>7</v>
      </c>
      <c r="D788" s="358">
        <f t="shared" si="12"/>
        <v>14.436500000000001</v>
      </c>
      <c r="Q788" s="136">
        <v>14.436500000000001</v>
      </c>
    </row>
    <row r="789" spans="1:17" x14ac:dyDescent="0.2">
      <c r="A789" s="283" t="s">
        <v>1762</v>
      </c>
      <c r="B789" s="283" t="s">
        <v>921</v>
      </c>
      <c r="C789" s="284" t="s">
        <v>7</v>
      </c>
      <c r="D789" s="358">
        <f t="shared" si="12"/>
        <v>78.254499999999993</v>
      </c>
      <c r="Q789" s="136">
        <v>78.254499999999993</v>
      </c>
    </row>
    <row r="790" spans="1:17" x14ac:dyDescent="0.2">
      <c r="A790" s="283" t="s">
        <v>1763</v>
      </c>
      <c r="B790" s="283" t="s">
        <v>923</v>
      </c>
      <c r="C790" s="284" t="s">
        <v>7</v>
      </c>
      <c r="D790" s="358">
        <f t="shared" si="12"/>
        <v>56.58</v>
      </c>
      <c r="Q790" s="136">
        <v>56.58</v>
      </c>
    </row>
    <row r="791" spans="1:17" x14ac:dyDescent="0.2">
      <c r="A791" s="283" t="s">
        <v>1764</v>
      </c>
      <c r="B791" s="283" t="s">
        <v>925</v>
      </c>
      <c r="C791" s="284" t="s">
        <v>184</v>
      </c>
      <c r="D791" s="358">
        <f t="shared" si="12"/>
        <v>63.085000000000001</v>
      </c>
      <c r="Q791" s="136">
        <v>63.085000000000001</v>
      </c>
    </row>
    <row r="792" spans="1:17" x14ac:dyDescent="0.2">
      <c r="A792" s="283" t="s">
        <v>1765</v>
      </c>
      <c r="B792" s="283" t="s">
        <v>933</v>
      </c>
      <c r="C792" s="284" t="s">
        <v>184</v>
      </c>
      <c r="D792" s="358">
        <f t="shared" si="12"/>
        <v>152.28909999999999</v>
      </c>
      <c r="Q792" s="136">
        <v>152.28909999999999</v>
      </c>
    </row>
    <row r="793" spans="1:17" x14ac:dyDescent="0.2">
      <c r="A793" s="283" t="s">
        <v>1766</v>
      </c>
      <c r="B793" s="283" t="s">
        <v>936</v>
      </c>
      <c r="C793" s="284" t="s">
        <v>184</v>
      </c>
      <c r="D793" s="358">
        <f t="shared" si="12"/>
        <v>796.96439999999996</v>
      </c>
      <c r="Q793" s="136">
        <v>796.96439999999996</v>
      </c>
    </row>
    <row r="794" spans="1:17" x14ac:dyDescent="0.2">
      <c r="A794" s="283" t="s">
        <v>1767</v>
      </c>
      <c r="B794" s="283" t="s">
        <v>938</v>
      </c>
      <c r="C794" s="284" t="s">
        <v>184</v>
      </c>
      <c r="D794" s="358">
        <f t="shared" si="12"/>
        <v>142.27549999999999</v>
      </c>
      <c r="Q794" s="136">
        <v>142.27549999999999</v>
      </c>
    </row>
    <row r="795" spans="1:17" x14ac:dyDescent="0.2">
      <c r="A795" s="283" t="s">
        <v>1768</v>
      </c>
      <c r="B795" s="283" t="s">
        <v>942</v>
      </c>
      <c r="C795" s="284" t="s">
        <v>184</v>
      </c>
      <c r="D795" s="358">
        <f t="shared" si="12"/>
        <v>1903.2036000000001</v>
      </c>
      <c r="Q795" s="136">
        <v>1903.2036000000001</v>
      </c>
    </row>
    <row r="796" spans="1:17" x14ac:dyDescent="0.2">
      <c r="A796" s="283" t="s">
        <v>1769</v>
      </c>
      <c r="B796" s="283" t="s">
        <v>1770</v>
      </c>
      <c r="C796" s="284" t="s">
        <v>184</v>
      </c>
      <c r="D796" s="358">
        <f t="shared" si="12"/>
        <v>1656.8136</v>
      </c>
      <c r="Q796" s="136">
        <v>1656.8136</v>
      </c>
    </row>
    <row r="797" spans="1:17" x14ac:dyDescent="0.2">
      <c r="A797" s="283" t="s">
        <v>1771</v>
      </c>
      <c r="B797" s="283" t="s">
        <v>946</v>
      </c>
      <c r="C797" s="284" t="s">
        <v>184</v>
      </c>
      <c r="D797" s="358">
        <f t="shared" si="12"/>
        <v>620.53830000000005</v>
      </c>
      <c r="Q797" s="136">
        <v>620.53830000000005</v>
      </c>
    </row>
    <row r="798" spans="1:17" x14ac:dyDescent="0.2">
      <c r="A798" s="283" t="s">
        <v>1772</v>
      </c>
      <c r="B798" s="283" t="s">
        <v>948</v>
      </c>
      <c r="C798" s="284" t="s">
        <v>184</v>
      </c>
      <c r="D798" s="358">
        <f t="shared" si="12"/>
        <v>1013.3833</v>
      </c>
      <c r="Q798" s="136">
        <v>1013.3833</v>
      </c>
    </row>
    <row r="799" spans="1:17" x14ac:dyDescent="0.2">
      <c r="A799" s="283" t="s">
        <v>949</v>
      </c>
      <c r="B799" s="283" t="s">
        <v>950</v>
      </c>
      <c r="C799" s="284" t="s">
        <v>11</v>
      </c>
      <c r="D799" s="358">
        <f t="shared" si="12"/>
        <v>12.4732</v>
      </c>
      <c r="Q799" s="136">
        <v>12.4732</v>
      </c>
    </row>
    <row r="800" spans="1:17" x14ac:dyDescent="0.2">
      <c r="A800" s="283" t="s">
        <v>1773</v>
      </c>
      <c r="B800" s="283" t="s">
        <v>1774</v>
      </c>
      <c r="C800" s="284" t="s">
        <v>184</v>
      </c>
      <c r="D800" s="358">
        <f t="shared" si="12"/>
        <v>90.208200000000005</v>
      </c>
      <c r="Q800" s="136">
        <v>90.208200000000005</v>
      </c>
    </row>
    <row r="801" spans="1:17" x14ac:dyDescent="0.2">
      <c r="A801" s="283" t="s">
        <v>963</v>
      </c>
      <c r="B801" s="283" t="s">
        <v>1775</v>
      </c>
      <c r="C801" s="284" t="s">
        <v>184</v>
      </c>
      <c r="D801" s="358">
        <f t="shared" si="12"/>
        <v>115.9374</v>
      </c>
      <c r="Q801" s="136">
        <v>115.9374</v>
      </c>
    </row>
    <row r="802" spans="1:17" x14ac:dyDescent="0.2">
      <c r="A802" s="283" t="s">
        <v>1000</v>
      </c>
      <c r="B802" s="283" t="s">
        <v>1776</v>
      </c>
      <c r="C802" s="284" t="s">
        <v>184</v>
      </c>
      <c r="D802" s="358">
        <f t="shared" si="12"/>
        <v>114.11</v>
      </c>
      <c r="Q802" s="136">
        <v>114.11</v>
      </c>
    </row>
    <row r="803" spans="1:17" x14ac:dyDescent="0.2">
      <c r="A803" s="283" t="s">
        <v>1033</v>
      </c>
      <c r="B803" s="283" t="s">
        <v>1777</v>
      </c>
      <c r="C803" s="284" t="s">
        <v>11</v>
      </c>
      <c r="D803" s="358">
        <f t="shared" si="12"/>
        <v>102152.38</v>
      </c>
      <c r="Q803" s="136">
        <v>102152.38</v>
      </c>
    </row>
    <row r="804" spans="1:17" x14ac:dyDescent="0.2">
      <c r="A804" s="283" t="s">
        <v>1039</v>
      </c>
      <c r="B804" s="283" t="s">
        <v>1778</v>
      </c>
      <c r="C804" s="284" t="s">
        <v>9</v>
      </c>
      <c r="D804" s="358">
        <f t="shared" si="12"/>
        <v>241.78</v>
      </c>
      <c r="Q804" s="136">
        <v>241.78</v>
      </c>
    </row>
    <row r="805" spans="1:17" x14ac:dyDescent="0.2">
      <c r="A805" s="283" t="s">
        <v>1779</v>
      </c>
      <c r="B805" s="283" t="s">
        <v>1780</v>
      </c>
      <c r="C805" s="284" t="s">
        <v>184</v>
      </c>
      <c r="D805" s="358">
        <f t="shared" si="12"/>
        <v>19.063300000000002</v>
      </c>
      <c r="Q805" s="136">
        <v>19.063300000000002</v>
      </c>
    </row>
    <row r="806" spans="1:17" x14ac:dyDescent="0.2">
      <c r="A806" s="283" t="s">
        <v>1781</v>
      </c>
      <c r="B806" s="283" t="s">
        <v>1782</v>
      </c>
      <c r="C806" s="284" t="s">
        <v>184</v>
      </c>
      <c r="D806" s="358">
        <f t="shared" si="12"/>
        <v>20.200399999999998</v>
      </c>
      <c r="Q806" s="136">
        <v>20.200399999999998</v>
      </c>
    </row>
    <row r="807" spans="1:17" x14ac:dyDescent="0.2">
      <c r="A807" s="283" t="s">
        <v>1783</v>
      </c>
      <c r="B807" s="283" t="s">
        <v>1784</v>
      </c>
      <c r="C807" s="284" t="s">
        <v>184</v>
      </c>
      <c r="D807" s="358">
        <f t="shared" si="12"/>
        <v>43.124899999999997</v>
      </c>
      <c r="Q807" s="136">
        <v>43.124899999999997</v>
      </c>
    </row>
    <row r="808" spans="1:17" x14ac:dyDescent="0.2">
      <c r="A808" s="283" t="s">
        <v>1785</v>
      </c>
      <c r="B808" s="283" t="s">
        <v>1786</v>
      </c>
      <c r="C808" s="284" t="s">
        <v>184</v>
      </c>
      <c r="D808" s="358">
        <f t="shared" si="12"/>
        <v>46.1663</v>
      </c>
      <c r="Q808" s="136">
        <v>46.1663</v>
      </c>
    </row>
    <row r="809" spans="1:17" x14ac:dyDescent="0.2">
      <c r="A809" s="283" t="s">
        <v>1787</v>
      </c>
      <c r="B809" s="283" t="s">
        <v>1788</v>
      </c>
      <c r="C809" s="284" t="s">
        <v>184</v>
      </c>
      <c r="D809" s="358">
        <f t="shared" si="12"/>
        <v>10.988300000000001</v>
      </c>
      <c r="Q809" s="136">
        <v>10.988300000000001</v>
      </c>
    </row>
    <row r="810" spans="1:17" x14ac:dyDescent="0.2">
      <c r="A810" s="283" t="s">
        <v>1789</v>
      </c>
      <c r="B810" s="283" t="s">
        <v>1790</v>
      </c>
      <c r="C810" s="284" t="s">
        <v>184</v>
      </c>
      <c r="D810" s="358">
        <f t="shared" si="12"/>
        <v>9.6751000000000005</v>
      </c>
      <c r="Q810" s="136">
        <v>9.6751000000000005</v>
      </c>
    </row>
    <row r="811" spans="1:17" x14ac:dyDescent="0.2">
      <c r="A811" s="283" t="s">
        <v>1791</v>
      </c>
      <c r="B811" s="283" t="s">
        <v>1792</v>
      </c>
      <c r="C811" s="284" t="s">
        <v>184</v>
      </c>
      <c r="D811" s="358">
        <f t="shared" si="12"/>
        <v>5.9283999999999999</v>
      </c>
      <c r="Q811" s="136">
        <v>5.9283999999999999</v>
      </c>
    </row>
    <row r="812" spans="1:17" x14ac:dyDescent="0.2">
      <c r="A812" s="283" t="s">
        <v>1793</v>
      </c>
      <c r="B812" s="283" t="s">
        <v>1794</v>
      </c>
      <c r="C812" s="284" t="s">
        <v>184</v>
      </c>
      <c r="D812" s="358">
        <f t="shared" si="12"/>
        <v>8.2908000000000008</v>
      </c>
      <c r="Q812" s="136">
        <v>8.2908000000000008</v>
      </c>
    </row>
    <row r="813" spans="1:17" x14ac:dyDescent="0.2">
      <c r="A813" s="283" t="s">
        <v>1795</v>
      </c>
      <c r="B813" s="283" t="s">
        <v>1796</v>
      </c>
      <c r="C813" s="284" t="s">
        <v>184</v>
      </c>
      <c r="D813" s="358">
        <f t="shared" si="12"/>
        <v>11.44</v>
      </c>
      <c r="Q813" s="136">
        <v>11.44</v>
      </c>
    </row>
    <row r="814" spans="1:17" x14ac:dyDescent="0.2">
      <c r="A814" s="283" t="s">
        <v>1797</v>
      </c>
      <c r="B814" s="283" t="s">
        <v>1798</v>
      </c>
      <c r="C814" s="284" t="s">
        <v>184</v>
      </c>
      <c r="D814" s="358">
        <f t="shared" si="12"/>
        <v>15.34</v>
      </c>
      <c r="Q814" s="136">
        <v>15.34</v>
      </c>
    </row>
    <row r="815" spans="1:17" x14ac:dyDescent="0.2">
      <c r="A815" s="283" t="s">
        <v>1799</v>
      </c>
      <c r="B815" s="283" t="s">
        <v>1800</v>
      </c>
      <c r="C815" s="284" t="s">
        <v>184</v>
      </c>
      <c r="D815" s="358">
        <f t="shared" si="12"/>
        <v>36.36</v>
      </c>
      <c r="Q815" s="136">
        <v>36.36</v>
      </c>
    </row>
    <row r="816" spans="1:17" x14ac:dyDescent="0.2">
      <c r="A816" s="283" t="s">
        <v>1801</v>
      </c>
      <c r="B816" s="283" t="s">
        <v>1802</v>
      </c>
      <c r="C816" s="284" t="s">
        <v>184</v>
      </c>
      <c r="D816" s="358">
        <f t="shared" si="12"/>
        <v>412.5</v>
      </c>
      <c r="Q816" s="136">
        <v>412.5</v>
      </c>
    </row>
    <row r="817" spans="1:17" x14ac:dyDescent="0.2">
      <c r="A817" s="283" t="s">
        <v>1803</v>
      </c>
      <c r="B817" s="283" t="s">
        <v>1804</v>
      </c>
      <c r="C817" s="284" t="s">
        <v>184</v>
      </c>
      <c r="D817" s="358">
        <f t="shared" si="12"/>
        <v>101.48</v>
      </c>
      <c r="Q817" s="136">
        <v>101.48</v>
      </c>
    </row>
    <row r="818" spans="1:17" x14ac:dyDescent="0.2">
      <c r="A818" s="283" t="s">
        <v>1805</v>
      </c>
      <c r="B818" s="283" t="s">
        <v>1806</v>
      </c>
      <c r="C818" s="284" t="s">
        <v>184</v>
      </c>
      <c r="D818" s="358">
        <f t="shared" si="12"/>
        <v>325.34840000000003</v>
      </c>
      <c r="Q818" s="136">
        <v>325.34840000000003</v>
      </c>
    </row>
    <row r="819" spans="1:17" x14ac:dyDescent="0.2">
      <c r="A819" s="283" t="s">
        <v>1807</v>
      </c>
      <c r="B819" s="283" t="s">
        <v>1808</v>
      </c>
      <c r="C819" s="284" t="s">
        <v>184</v>
      </c>
      <c r="D819" s="358">
        <f t="shared" si="12"/>
        <v>343.47</v>
      </c>
      <c r="Q819" s="136">
        <v>343.47</v>
      </c>
    </row>
    <row r="820" spans="1:17" x14ac:dyDescent="0.2">
      <c r="A820" s="283" t="s">
        <v>1809</v>
      </c>
      <c r="B820" s="283" t="s">
        <v>1810</v>
      </c>
      <c r="C820" s="284" t="s">
        <v>184</v>
      </c>
      <c r="D820" s="358">
        <f t="shared" si="12"/>
        <v>241.37</v>
      </c>
      <c r="Q820" s="136">
        <v>241.37</v>
      </c>
    </row>
    <row r="821" spans="1:17" x14ac:dyDescent="0.2">
      <c r="A821" s="283" t="s">
        <v>1811</v>
      </c>
      <c r="B821" s="283" t="s">
        <v>1812</v>
      </c>
      <c r="C821" s="284" t="s">
        <v>184</v>
      </c>
      <c r="D821" s="358">
        <f t="shared" si="12"/>
        <v>49.314999999999998</v>
      </c>
      <c r="Q821" s="136">
        <v>49.314999999999998</v>
      </c>
    </row>
    <row r="822" spans="1:17" x14ac:dyDescent="0.2">
      <c r="A822" s="283" t="s">
        <v>1813</v>
      </c>
      <c r="B822" s="283" t="s">
        <v>1814</v>
      </c>
      <c r="C822" s="284" t="s">
        <v>184</v>
      </c>
      <c r="D822" s="358">
        <f t="shared" si="12"/>
        <v>42.15</v>
      </c>
      <c r="Q822" s="136">
        <v>42.15</v>
      </c>
    </row>
    <row r="823" spans="1:17" x14ac:dyDescent="0.2">
      <c r="A823" s="283" t="s">
        <v>1815</v>
      </c>
      <c r="B823" s="283" t="s">
        <v>1816</v>
      </c>
      <c r="C823" s="284" t="s">
        <v>184</v>
      </c>
      <c r="D823" s="358">
        <f t="shared" si="12"/>
        <v>66.94</v>
      </c>
      <c r="Q823" s="136">
        <v>66.94</v>
      </c>
    </row>
    <row r="824" spans="1:17" x14ac:dyDescent="0.2">
      <c r="A824" s="283" t="s">
        <v>1817</v>
      </c>
      <c r="B824" s="283" t="s">
        <v>1818</v>
      </c>
      <c r="C824" s="284" t="s">
        <v>184</v>
      </c>
      <c r="D824" s="358">
        <f t="shared" si="12"/>
        <v>85.95</v>
      </c>
      <c r="Q824" s="136">
        <v>85.95</v>
      </c>
    </row>
    <row r="825" spans="1:17" x14ac:dyDescent="0.2">
      <c r="A825" s="283" t="s">
        <v>1819</v>
      </c>
      <c r="B825" s="283" t="s">
        <v>1820</v>
      </c>
      <c r="C825" s="284" t="s">
        <v>184</v>
      </c>
      <c r="D825" s="358">
        <f t="shared" si="12"/>
        <v>43.835000000000001</v>
      </c>
      <c r="Q825" s="136">
        <v>43.835000000000001</v>
      </c>
    </row>
    <row r="826" spans="1:17" x14ac:dyDescent="0.2">
      <c r="A826" s="283" t="s">
        <v>1821</v>
      </c>
      <c r="B826" s="283" t="s">
        <v>1822</v>
      </c>
      <c r="C826" s="284" t="s">
        <v>184</v>
      </c>
      <c r="D826" s="358">
        <f t="shared" si="12"/>
        <v>15.555</v>
      </c>
      <c r="Q826" s="136">
        <v>15.555</v>
      </c>
    </row>
    <row r="827" spans="1:17" x14ac:dyDescent="0.2">
      <c r="A827" s="283" t="s">
        <v>1823</v>
      </c>
      <c r="B827" s="283" t="s">
        <v>1824</v>
      </c>
      <c r="C827" s="284" t="s">
        <v>184</v>
      </c>
      <c r="D827" s="358">
        <f t="shared" si="12"/>
        <v>6.0933000000000002</v>
      </c>
      <c r="Q827" s="136">
        <v>6.0933000000000002</v>
      </c>
    </row>
    <row r="828" spans="1:17" x14ac:dyDescent="0.2">
      <c r="A828" s="283" t="s">
        <v>1825</v>
      </c>
      <c r="B828" s="283" t="s">
        <v>1826</v>
      </c>
      <c r="C828" s="284" t="s">
        <v>301</v>
      </c>
      <c r="D828" s="358">
        <f t="shared" si="12"/>
        <v>67.3673</v>
      </c>
      <c r="Q828" s="136">
        <v>67.3673</v>
      </c>
    </row>
    <row r="829" spans="1:17" x14ac:dyDescent="0.2">
      <c r="A829" s="283" t="s">
        <v>1827</v>
      </c>
      <c r="B829" s="283" t="s">
        <v>1828</v>
      </c>
      <c r="C829" s="284" t="s">
        <v>7</v>
      </c>
      <c r="D829" s="358">
        <f t="shared" si="12"/>
        <v>4.6784999999999997</v>
      </c>
      <c r="Q829" s="136">
        <v>4.6784999999999997</v>
      </c>
    </row>
    <row r="830" spans="1:17" x14ac:dyDescent="0.2">
      <c r="A830" s="283" t="s">
        <v>1829</v>
      </c>
      <c r="B830" s="283" t="s">
        <v>1830</v>
      </c>
      <c r="C830" s="284" t="s">
        <v>7</v>
      </c>
      <c r="D830" s="358">
        <f t="shared" si="12"/>
        <v>7.7434000000000003</v>
      </c>
      <c r="Q830" s="136">
        <v>7.7434000000000003</v>
      </c>
    </row>
    <row r="831" spans="1:17" x14ac:dyDescent="0.2">
      <c r="A831" s="283" t="s">
        <v>1831</v>
      </c>
      <c r="B831" s="283" t="s">
        <v>1832</v>
      </c>
      <c r="C831" s="284" t="s">
        <v>7</v>
      </c>
      <c r="D831" s="358">
        <f t="shared" si="12"/>
        <v>9.7550000000000008</v>
      </c>
      <c r="Q831" s="136">
        <v>9.7550000000000008</v>
      </c>
    </row>
    <row r="832" spans="1:17" x14ac:dyDescent="0.2">
      <c r="A832" s="283" t="s">
        <v>1833</v>
      </c>
      <c r="B832" s="283" t="s">
        <v>1834</v>
      </c>
      <c r="C832" s="284" t="s">
        <v>7</v>
      </c>
      <c r="D832" s="358">
        <f t="shared" si="12"/>
        <v>35.94</v>
      </c>
      <c r="Q832" s="136">
        <v>35.94</v>
      </c>
    </row>
    <row r="833" spans="1:17" x14ac:dyDescent="0.2">
      <c r="A833" s="283" t="s">
        <v>1835</v>
      </c>
      <c r="B833" s="283" t="s">
        <v>1836</v>
      </c>
      <c r="C833" s="284" t="s">
        <v>7</v>
      </c>
      <c r="D833" s="358">
        <f t="shared" ref="D833:D880" si="13">Q833</f>
        <v>30.738299999999999</v>
      </c>
      <c r="Q833" s="136">
        <v>30.738299999999999</v>
      </c>
    </row>
    <row r="834" spans="1:17" x14ac:dyDescent="0.2">
      <c r="A834" s="283" t="s">
        <v>1837</v>
      </c>
      <c r="B834" s="283" t="s">
        <v>1838</v>
      </c>
      <c r="C834" s="284" t="s">
        <v>7</v>
      </c>
      <c r="D834" s="358">
        <f t="shared" si="13"/>
        <v>37.025700000000001</v>
      </c>
      <c r="Q834" s="136">
        <v>37.025700000000001</v>
      </c>
    </row>
    <row r="835" spans="1:17" x14ac:dyDescent="0.2">
      <c r="A835" s="283" t="s">
        <v>1839</v>
      </c>
      <c r="B835" s="283" t="s">
        <v>1840</v>
      </c>
      <c r="C835" s="284" t="s">
        <v>184</v>
      </c>
      <c r="D835" s="358">
        <f t="shared" si="13"/>
        <v>2.0066999999999999</v>
      </c>
      <c r="Q835" s="136">
        <v>2.0066999999999999</v>
      </c>
    </row>
    <row r="836" spans="1:17" x14ac:dyDescent="0.2">
      <c r="A836" s="283" t="s">
        <v>1841</v>
      </c>
      <c r="B836" s="283" t="s">
        <v>1842</v>
      </c>
      <c r="C836" s="284" t="s">
        <v>184</v>
      </c>
      <c r="D836" s="358">
        <f t="shared" si="13"/>
        <v>5.915</v>
      </c>
      <c r="Q836" s="136">
        <v>5.915</v>
      </c>
    </row>
    <row r="837" spans="1:17" x14ac:dyDescent="0.2">
      <c r="A837" s="283" t="s">
        <v>1843</v>
      </c>
      <c r="B837" s="283" t="s">
        <v>1844</v>
      </c>
      <c r="C837" s="284" t="s">
        <v>184</v>
      </c>
      <c r="D837" s="358">
        <f t="shared" si="13"/>
        <v>4.0549999999999997</v>
      </c>
      <c r="Q837" s="136">
        <v>4.0549999999999997</v>
      </c>
    </row>
    <row r="838" spans="1:17" hidden="1" x14ac:dyDescent="0.2">
      <c r="A838" s="283" t="s">
        <v>1845</v>
      </c>
      <c r="B838" s="283" t="s">
        <v>1846</v>
      </c>
      <c r="C838" s="284" t="s">
        <v>184</v>
      </c>
      <c r="D838" s="358">
        <f t="shared" si="13"/>
        <v>4.0549999999999997</v>
      </c>
      <c r="Q838" s="136">
        <v>4.0549999999999997</v>
      </c>
    </row>
    <row r="839" spans="1:17" x14ac:dyDescent="0.2">
      <c r="A839" s="283" t="s">
        <v>1847</v>
      </c>
      <c r="B839" s="283" t="s">
        <v>1848</v>
      </c>
      <c r="C839" s="284" t="s">
        <v>184</v>
      </c>
      <c r="D839" s="358">
        <f t="shared" si="13"/>
        <v>38.176699999999997</v>
      </c>
      <c r="Q839" s="136">
        <v>38.176699999999997</v>
      </c>
    </row>
    <row r="840" spans="1:17" x14ac:dyDescent="0.2">
      <c r="A840" s="283" t="s">
        <v>1849</v>
      </c>
      <c r="B840" s="283" t="s">
        <v>1850</v>
      </c>
      <c r="C840" s="284" t="s">
        <v>184</v>
      </c>
      <c r="D840" s="358">
        <f t="shared" si="13"/>
        <v>56.634999999999998</v>
      </c>
      <c r="Q840" s="136">
        <v>56.634999999999998</v>
      </c>
    </row>
    <row r="841" spans="1:17" x14ac:dyDescent="0.2">
      <c r="A841" s="283" t="s">
        <v>1851</v>
      </c>
      <c r="B841" s="283" t="s">
        <v>1852</v>
      </c>
      <c r="C841" s="284" t="s">
        <v>184</v>
      </c>
      <c r="D841" s="358">
        <f t="shared" si="13"/>
        <v>6.9550000000000001</v>
      </c>
      <c r="Q841" s="136">
        <v>6.9550000000000001</v>
      </c>
    </row>
    <row r="842" spans="1:17" x14ac:dyDescent="0.2">
      <c r="A842" s="283" t="s">
        <v>1853</v>
      </c>
      <c r="B842" s="283" t="s">
        <v>1854</v>
      </c>
      <c r="C842" s="284" t="s">
        <v>184</v>
      </c>
      <c r="D842" s="358">
        <f t="shared" si="13"/>
        <v>2.2128999999999999</v>
      </c>
      <c r="Q842" s="136">
        <v>2.2128999999999999</v>
      </c>
    </row>
    <row r="843" spans="1:17" x14ac:dyDescent="0.2">
      <c r="A843" s="283" t="s">
        <v>1855</v>
      </c>
      <c r="B843" s="283" t="s">
        <v>1856</v>
      </c>
      <c r="C843" s="284" t="s">
        <v>184</v>
      </c>
      <c r="D843" s="358">
        <f t="shared" si="13"/>
        <v>6.96</v>
      </c>
      <c r="Q843" s="136">
        <v>6.96</v>
      </c>
    </row>
    <row r="844" spans="1:17" x14ac:dyDescent="0.2">
      <c r="A844" s="283" t="s">
        <v>1857</v>
      </c>
      <c r="B844" s="283" t="s">
        <v>1858</v>
      </c>
      <c r="C844" s="284" t="s">
        <v>184</v>
      </c>
      <c r="D844" s="358">
        <f t="shared" si="13"/>
        <v>11.705</v>
      </c>
      <c r="Q844" s="136">
        <v>11.705</v>
      </c>
    </row>
    <row r="845" spans="1:17" x14ac:dyDescent="0.2">
      <c r="A845" s="283" t="s">
        <v>1859</v>
      </c>
      <c r="B845" s="283" t="s">
        <v>1860</v>
      </c>
      <c r="C845" s="284" t="s">
        <v>184</v>
      </c>
      <c r="D845" s="358">
        <f t="shared" si="13"/>
        <v>599.52</v>
      </c>
      <c r="Q845" s="136">
        <v>599.52</v>
      </c>
    </row>
    <row r="846" spans="1:17" x14ac:dyDescent="0.2">
      <c r="A846" s="283" t="s">
        <v>1861</v>
      </c>
      <c r="B846" s="283" t="s">
        <v>1862</v>
      </c>
      <c r="C846" s="284" t="s">
        <v>184</v>
      </c>
      <c r="D846" s="358">
        <f t="shared" si="13"/>
        <v>476.98480000000001</v>
      </c>
      <c r="Q846" s="136">
        <v>476.98480000000001</v>
      </c>
    </row>
    <row r="847" spans="1:17" x14ac:dyDescent="0.2">
      <c r="A847" s="283" t="s">
        <v>1863</v>
      </c>
      <c r="B847" s="283" t="s">
        <v>1864</v>
      </c>
      <c r="C847" s="284" t="s">
        <v>184</v>
      </c>
      <c r="D847" s="358">
        <f t="shared" si="13"/>
        <v>683.01559999999995</v>
      </c>
      <c r="Q847" s="136">
        <v>683.01559999999995</v>
      </c>
    </row>
    <row r="848" spans="1:17" x14ac:dyDescent="0.2">
      <c r="A848" s="283" t="s">
        <v>1865</v>
      </c>
      <c r="B848" s="283" t="s">
        <v>1866</v>
      </c>
      <c r="C848" s="284" t="s">
        <v>184</v>
      </c>
      <c r="D848" s="358">
        <f t="shared" si="13"/>
        <v>64.099599999999995</v>
      </c>
      <c r="Q848" s="136">
        <v>64.099599999999995</v>
      </c>
    </row>
    <row r="849" spans="1:17" x14ac:dyDescent="0.2">
      <c r="A849" s="283" t="s">
        <v>1867</v>
      </c>
      <c r="B849" s="283" t="s">
        <v>1868</v>
      </c>
      <c r="C849" s="284" t="s">
        <v>184</v>
      </c>
      <c r="D849" s="358">
        <f t="shared" si="13"/>
        <v>74.709999999999994</v>
      </c>
      <c r="Q849" s="136">
        <v>74.709999999999994</v>
      </c>
    </row>
    <row r="850" spans="1:17" x14ac:dyDescent="0.2">
      <c r="A850" s="283" t="s">
        <v>1869</v>
      </c>
      <c r="B850" s="283" t="s">
        <v>1870</v>
      </c>
      <c r="C850" s="284" t="s">
        <v>184</v>
      </c>
      <c r="D850" s="358">
        <f t="shared" si="13"/>
        <v>75.599999999999994</v>
      </c>
      <c r="Q850" s="136">
        <v>75.599999999999994</v>
      </c>
    </row>
    <row r="851" spans="1:17" x14ac:dyDescent="0.2">
      <c r="A851" s="283" t="s">
        <v>1871</v>
      </c>
      <c r="B851" s="283" t="s">
        <v>1872</v>
      </c>
      <c r="C851" s="284" t="s">
        <v>184</v>
      </c>
      <c r="D851" s="358">
        <f t="shared" si="13"/>
        <v>35.915999999999997</v>
      </c>
      <c r="Q851" s="136">
        <v>35.915999999999997</v>
      </c>
    </row>
    <row r="852" spans="1:17" x14ac:dyDescent="0.2">
      <c r="A852" s="283" t="s">
        <v>1873</v>
      </c>
      <c r="B852" s="283" t="s">
        <v>1874</v>
      </c>
      <c r="C852" s="284" t="s">
        <v>184</v>
      </c>
      <c r="D852" s="358">
        <f t="shared" si="13"/>
        <v>93.695099999999996</v>
      </c>
      <c r="Q852" s="136">
        <v>93.695099999999996</v>
      </c>
    </row>
    <row r="853" spans="1:17" x14ac:dyDescent="0.2">
      <c r="A853" s="283" t="s">
        <v>1875</v>
      </c>
      <c r="B853" s="283" t="s">
        <v>1876</v>
      </c>
      <c r="C853" s="284" t="s">
        <v>184</v>
      </c>
      <c r="D853" s="358">
        <f t="shared" si="13"/>
        <v>22.3523</v>
      </c>
      <c r="Q853" s="136">
        <v>22.3523</v>
      </c>
    </row>
    <row r="854" spans="1:17" x14ac:dyDescent="0.2">
      <c r="A854" s="283" t="s">
        <v>1099</v>
      </c>
      <c r="B854" s="283" t="s">
        <v>1877</v>
      </c>
      <c r="C854" s="284" t="s">
        <v>184</v>
      </c>
      <c r="D854" s="358">
        <f t="shared" si="13"/>
        <v>50.5</v>
      </c>
      <c r="Q854" s="136">
        <v>50.5</v>
      </c>
    </row>
    <row r="855" spans="1:17" x14ac:dyDescent="0.2">
      <c r="A855" s="283" t="s">
        <v>1878</v>
      </c>
      <c r="B855" s="283" t="s">
        <v>1879</v>
      </c>
      <c r="C855" s="284" t="s">
        <v>184</v>
      </c>
      <c r="D855" s="358">
        <f t="shared" si="13"/>
        <v>46.431699999999999</v>
      </c>
      <c r="Q855" s="136">
        <v>46.431699999999999</v>
      </c>
    </row>
    <row r="856" spans="1:17" x14ac:dyDescent="0.2">
      <c r="A856" s="283" t="s">
        <v>1880</v>
      </c>
      <c r="B856" s="283" t="s">
        <v>1881</v>
      </c>
      <c r="C856" s="284" t="s">
        <v>184</v>
      </c>
      <c r="D856" s="358">
        <f t="shared" si="13"/>
        <v>10.130000000000001</v>
      </c>
      <c r="Q856" s="136">
        <v>10.130000000000001</v>
      </c>
    </row>
    <row r="857" spans="1:17" x14ac:dyDescent="0.2">
      <c r="A857" s="283" t="s">
        <v>1882</v>
      </c>
      <c r="B857" s="283" t="s">
        <v>1883</v>
      </c>
      <c r="C857" s="284" t="s">
        <v>14</v>
      </c>
      <c r="D857" s="358">
        <f t="shared" si="13"/>
        <v>561.98</v>
      </c>
      <c r="Q857" s="136">
        <v>561.98</v>
      </c>
    </row>
    <row r="858" spans="1:17" x14ac:dyDescent="0.2">
      <c r="A858" s="283" t="s">
        <v>1884</v>
      </c>
      <c r="B858" s="283" t="s">
        <v>1885</v>
      </c>
      <c r="C858" s="284" t="s">
        <v>14</v>
      </c>
      <c r="D858" s="358">
        <f t="shared" si="13"/>
        <v>595.04</v>
      </c>
      <c r="Q858" s="136">
        <v>595.04</v>
      </c>
    </row>
    <row r="859" spans="1:17" x14ac:dyDescent="0.2">
      <c r="A859" s="283" t="s">
        <v>1886</v>
      </c>
      <c r="B859" s="283" t="s">
        <v>1887</v>
      </c>
      <c r="C859" s="284" t="s">
        <v>14</v>
      </c>
      <c r="D859" s="358">
        <f t="shared" si="13"/>
        <v>1652.89</v>
      </c>
      <c r="Q859" s="136">
        <v>1652.89</v>
      </c>
    </row>
    <row r="860" spans="1:17" x14ac:dyDescent="0.2">
      <c r="A860" s="283" t="s">
        <v>1888</v>
      </c>
      <c r="B860" s="283" t="s">
        <v>1889</v>
      </c>
      <c r="C860" s="284" t="s">
        <v>14</v>
      </c>
      <c r="D860" s="358">
        <f t="shared" si="13"/>
        <v>2297.52</v>
      </c>
      <c r="Q860" s="136">
        <v>2297.52</v>
      </c>
    </row>
    <row r="861" spans="1:17" x14ac:dyDescent="0.2">
      <c r="A861" s="283" t="s">
        <v>1890</v>
      </c>
      <c r="B861" s="283" t="s">
        <v>1891</v>
      </c>
      <c r="C861" s="284" t="s">
        <v>14</v>
      </c>
      <c r="D861" s="358">
        <f t="shared" si="13"/>
        <v>22.73</v>
      </c>
      <c r="Q861" s="136">
        <v>22.73</v>
      </c>
    </row>
    <row r="862" spans="1:17" x14ac:dyDescent="0.2">
      <c r="A862" s="283" t="s">
        <v>1892</v>
      </c>
      <c r="B862" s="283" t="s">
        <v>1893</v>
      </c>
      <c r="C862" s="284" t="s">
        <v>14</v>
      </c>
      <c r="D862" s="358">
        <f t="shared" si="13"/>
        <v>735.54</v>
      </c>
      <c r="Q862" s="136">
        <v>735.54</v>
      </c>
    </row>
    <row r="863" spans="1:17" x14ac:dyDescent="0.2">
      <c r="A863" s="283" t="s">
        <v>1894</v>
      </c>
      <c r="B863" s="283" t="s">
        <v>1895</v>
      </c>
      <c r="C863" s="284" t="s">
        <v>184</v>
      </c>
      <c r="D863" s="358">
        <f t="shared" si="13"/>
        <v>19.66</v>
      </c>
      <c r="Q863" s="136">
        <v>19.66</v>
      </c>
    </row>
    <row r="864" spans="1:17" x14ac:dyDescent="0.2">
      <c r="A864" s="283" t="s">
        <v>1896</v>
      </c>
      <c r="B864" s="283" t="s">
        <v>1897</v>
      </c>
      <c r="C864" s="284" t="s">
        <v>184</v>
      </c>
      <c r="D864" s="358">
        <f t="shared" si="13"/>
        <v>19.37</v>
      </c>
      <c r="Q864" s="136">
        <v>19.37</v>
      </c>
    </row>
    <row r="865" spans="1:17" x14ac:dyDescent="0.2">
      <c r="A865" s="283" t="s">
        <v>1898</v>
      </c>
      <c r="B865" s="283" t="s">
        <v>1899</v>
      </c>
      <c r="C865" s="284" t="s">
        <v>14</v>
      </c>
      <c r="D865" s="358">
        <f t="shared" si="13"/>
        <v>104.13</v>
      </c>
      <c r="Q865" s="136">
        <v>104.13</v>
      </c>
    </row>
    <row r="866" spans="1:17" x14ac:dyDescent="0.2">
      <c r="A866" s="283" t="s">
        <v>1900</v>
      </c>
      <c r="B866" s="283" t="s">
        <v>1901</v>
      </c>
      <c r="C866" s="284" t="s">
        <v>14</v>
      </c>
      <c r="D866" s="358">
        <f t="shared" si="13"/>
        <v>56.2</v>
      </c>
      <c r="Q866" s="136">
        <v>56.2</v>
      </c>
    </row>
    <row r="867" spans="1:17" x14ac:dyDescent="0.2">
      <c r="A867" s="283" t="s">
        <v>1902</v>
      </c>
      <c r="B867" s="283" t="s">
        <v>1903</v>
      </c>
      <c r="C867" s="284" t="s">
        <v>14</v>
      </c>
      <c r="D867" s="358">
        <f t="shared" si="13"/>
        <v>52.2</v>
      </c>
      <c r="Q867" s="136">
        <v>52.2</v>
      </c>
    </row>
    <row r="868" spans="1:17" x14ac:dyDescent="0.2">
      <c r="A868" s="283" t="s">
        <v>1904</v>
      </c>
      <c r="B868" s="283" t="s">
        <v>1905</v>
      </c>
      <c r="C868" s="284" t="s">
        <v>7</v>
      </c>
      <c r="D868" s="358">
        <f t="shared" si="13"/>
        <v>26.45</v>
      </c>
      <c r="Q868" s="136">
        <v>26.45</v>
      </c>
    </row>
    <row r="869" spans="1:17" x14ac:dyDescent="0.2">
      <c r="A869" s="283" t="s">
        <v>1906</v>
      </c>
      <c r="B869" s="283" t="s">
        <v>1907</v>
      </c>
      <c r="C869" s="284" t="s">
        <v>7</v>
      </c>
      <c r="D869" s="358">
        <f t="shared" si="13"/>
        <v>24.79</v>
      </c>
      <c r="Q869" s="136">
        <v>24.79</v>
      </c>
    </row>
    <row r="870" spans="1:17" x14ac:dyDescent="0.2">
      <c r="A870" s="283" t="s">
        <v>1908</v>
      </c>
      <c r="B870" s="283" t="s">
        <v>1909</v>
      </c>
      <c r="C870" s="284" t="s">
        <v>7</v>
      </c>
      <c r="D870" s="358">
        <f t="shared" si="13"/>
        <v>20.66</v>
      </c>
      <c r="Q870" s="136">
        <v>20.66</v>
      </c>
    </row>
    <row r="871" spans="1:17" x14ac:dyDescent="0.2">
      <c r="A871" s="283" t="s">
        <v>1910</v>
      </c>
      <c r="B871" s="283" t="s">
        <v>1911</v>
      </c>
      <c r="C871" s="284" t="s">
        <v>7</v>
      </c>
      <c r="D871" s="358">
        <f t="shared" si="13"/>
        <v>22.35</v>
      </c>
      <c r="Q871" s="136">
        <v>22.35</v>
      </c>
    </row>
    <row r="872" spans="1:17" x14ac:dyDescent="0.2">
      <c r="A872" s="283" t="s">
        <v>1912</v>
      </c>
      <c r="B872" s="283" t="s">
        <v>1913</v>
      </c>
      <c r="C872" s="284" t="s">
        <v>7</v>
      </c>
      <c r="D872" s="358">
        <f t="shared" si="13"/>
        <v>26.45</v>
      </c>
      <c r="Q872" s="136">
        <v>26.45</v>
      </c>
    </row>
    <row r="873" spans="1:17" x14ac:dyDescent="0.2">
      <c r="A873" s="283" t="s">
        <v>1914</v>
      </c>
      <c r="B873" s="283" t="s">
        <v>1915</v>
      </c>
      <c r="C873" s="284" t="s">
        <v>14</v>
      </c>
      <c r="D873" s="358">
        <f t="shared" si="13"/>
        <v>82.64</v>
      </c>
      <c r="Q873" s="136">
        <v>82.64</v>
      </c>
    </row>
    <row r="874" spans="1:17" x14ac:dyDescent="0.2">
      <c r="A874" s="283" t="s">
        <v>1916</v>
      </c>
      <c r="B874" s="283" t="s">
        <v>1917</v>
      </c>
      <c r="C874" s="284" t="s">
        <v>14</v>
      </c>
      <c r="D874" s="358">
        <f t="shared" si="13"/>
        <v>54.382399999999997</v>
      </c>
      <c r="Q874" s="136">
        <v>54.382399999999997</v>
      </c>
    </row>
    <row r="875" spans="1:17" x14ac:dyDescent="0.2">
      <c r="A875" s="283" t="s">
        <v>1918</v>
      </c>
      <c r="B875" s="283" t="s">
        <v>1919</v>
      </c>
      <c r="C875" s="284" t="s">
        <v>184</v>
      </c>
      <c r="D875" s="358">
        <f t="shared" si="13"/>
        <v>5.9824000000000002</v>
      </c>
      <c r="Q875" s="136">
        <v>5.9824000000000002</v>
      </c>
    </row>
    <row r="876" spans="1:17" x14ac:dyDescent="0.2">
      <c r="A876" s="283" t="s">
        <v>1920</v>
      </c>
      <c r="B876" s="283" t="s">
        <v>1919</v>
      </c>
      <c r="C876" s="284" t="s">
        <v>184</v>
      </c>
      <c r="D876" s="358">
        <f t="shared" si="13"/>
        <v>5.9824000000000002</v>
      </c>
      <c r="Q876" s="136">
        <v>5.9824000000000002</v>
      </c>
    </row>
    <row r="877" spans="1:17" x14ac:dyDescent="0.2">
      <c r="A877" s="283" t="s">
        <v>1921</v>
      </c>
      <c r="B877" s="283" t="s">
        <v>1919</v>
      </c>
      <c r="C877" s="284" t="s">
        <v>479</v>
      </c>
      <c r="D877" s="358">
        <f t="shared" si="13"/>
        <v>5.9824000000000002</v>
      </c>
      <c r="Q877" s="136">
        <v>5.9824000000000002</v>
      </c>
    </row>
    <row r="878" spans="1:17" x14ac:dyDescent="0.2">
      <c r="A878" s="283" t="s">
        <v>1922</v>
      </c>
      <c r="B878" s="283" t="s">
        <v>1923</v>
      </c>
      <c r="C878" s="284" t="s">
        <v>14</v>
      </c>
      <c r="D878" s="358">
        <f t="shared" si="13"/>
        <v>190.91</v>
      </c>
      <c r="Q878" s="136">
        <v>190.91</v>
      </c>
    </row>
    <row r="879" spans="1:17" x14ac:dyDescent="0.2">
      <c r="A879" s="283" t="s">
        <v>1924</v>
      </c>
      <c r="B879" s="283" t="s">
        <v>1925</v>
      </c>
      <c r="C879" s="284" t="s">
        <v>14</v>
      </c>
      <c r="D879" s="358">
        <f t="shared" si="13"/>
        <v>296.27999999999997</v>
      </c>
      <c r="Q879" s="136">
        <v>296.27999999999997</v>
      </c>
    </row>
    <row r="880" spans="1:17" x14ac:dyDescent="0.2">
      <c r="A880" s="283" t="s">
        <v>1926</v>
      </c>
      <c r="B880" s="283" t="s">
        <v>1927</v>
      </c>
      <c r="C880" s="284" t="s">
        <v>14</v>
      </c>
      <c r="D880" s="358">
        <f t="shared" si="13"/>
        <v>579.59</v>
      </c>
      <c r="Q880" s="136">
        <v>579.59</v>
      </c>
    </row>
  </sheetData>
  <mergeCells count="3">
    <mergeCell ref="A1:O1"/>
    <mergeCell ref="A2:G2"/>
    <mergeCell ref="A446:D446"/>
  </mergeCells>
  <pageMargins left="0.86614173228346458" right="0" top="0.51181102362204722" bottom="0.47244094488188981" header="0.59055118110236227" footer="0.23622047244094491"/>
  <pageSetup paperSize="5" scale="85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B1:X118"/>
  <sheetViews>
    <sheetView topLeftCell="A25" zoomScale="130" zoomScaleNormal="130" workbookViewId="0">
      <selection activeCell="D56" sqref="D56"/>
    </sheetView>
  </sheetViews>
  <sheetFormatPr baseColWidth="10" defaultColWidth="9.140625" defaultRowHeight="12.75" x14ac:dyDescent="0.2"/>
  <cols>
    <col min="1" max="1" width="1.7109375" customWidth="1"/>
    <col min="2" max="2" width="8.7109375" customWidth="1"/>
    <col min="3" max="3" width="33.85546875" customWidth="1"/>
    <col min="4" max="4" width="8.7109375" customWidth="1"/>
    <col min="5" max="5" width="12.28515625" customWidth="1"/>
    <col min="6" max="6" width="8.7109375" customWidth="1"/>
    <col min="7" max="8" width="8.7109375" style="12" customWidth="1"/>
    <col min="9" max="10" width="8.7109375" customWidth="1"/>
    <col min="11" max="11" width="10.28515625" customWidth="1"/>
    <col min="12" max="12" width="9.85546875" customWidth="1"/>
    <col min="13" max="13" width="5.7109375" customWidth="1"/>
    <col min="14" max="15" width="8.7109375" customWidth="1"/>
    <col min="16" max="16" width="9.7109375" customWidth="1"/>
    <col min="17" max="17" width="7.7109375" customWidth="1"/>
    <col min="18" max="18" width="9.7109375" customWidth="1"/>
    <col min="19" max="19" width="11.7109375" customWidth="1"/>
    <col min="20" max="21" width="11.42578125" customWidth="1"/>
    <col min="22" max="22" width="3.7109375" customWidth="1"/>
    <col min="23" max="256" width="11.42578125" customWidth="1"/>
  </cols>
  <sheetData>
    <row r="1" spans="2:24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24" x14ac:dyDescent="0.2">
      <c r="B2" s="13" t="s">
        <v>20</v>
      </c>
      <c r="C2" s="13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24" x14ac:dyDescent="0.2">
      <c r="B3" s="13" t="s">
        <v>21</v>
      </c>
      <c r="C3" s="13"/>
      <c r="D3" s="13"/>
      <c r="E3" s="13"/>
      <c r="F3" s="1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24" x14ac:dyDescent="0.2">
      <c r="B4" s="13" t="s">
        <v>22</v>
      </c>
      <c r="C4" s="13"/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24" x14ac:dyDescent="0.2">
      <c r="B5" s="10"/>
      <c r="C5" s="10"/>
      <c r="D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24" x14ac:dyDescent="0.2">
      <c r="C6" s="10"/>
      <c r="D6" s="10"/>
      <c r="E6" s="13" t="s">
        <v>23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24" x14ac:dyDescent="0.2">
      <c r="B7" s="14"/>
      <c r="C7" s="14"/>
      <c r="D7" s="15"/>
      <c r="E7" s="15"/>
      <c r="F7" s="15"/>
      <c r="G7" s="16"/>
      <c r="H7" s="16"/>
      <c r="I7" s="15"/>
      <c r="J7" s="15"/>
      <c r="K7" s="15"/>
      <c r="L7" s="15"/>
      <c r="M7" s="15"/>
      <c r="N7" s="15"/>
      <c r="O7" s="15"/>
      <c r="P7" s="15"/>
      <c r="Q7" s="15"/>
    </row>
    <row r="8" spans="2:24" ht="13.5" x14ac:dyDescent="0.25">
      <c r="B8" s="17" t="s">
        <v>24</v>
      </c>
      <c r="C8" s="18" t="s">
        <v>25</v>
      </c>
      <c r="D8" s="17" t="s">
        <v>10</v>
      </c>
      <c r="E8" s="17" t="s">
        <v>0</v>
      </c>
      <c r="F8" s="19" t="s">
        <v>26</v>
      </c>
      <c r="G8" s="20" t="s">
        <v>27</v>
      </c>
      <c r="H8" s="20" t="s">
        <v>28</v>
      </c>
      <c r="I8" s="538" t="s">
        <v>29</v>
      </c>
      <c r="J8" s="539"/>
      <c r="K8" s="540"/>
      <c r="L8" s="20" t="s">
        <v>30</v>
      </c>
      <c r="M8" s="538" t="s">
        <v>5</v>
      </c>
      <c r="N8" s="539"/>
      <c r="O8" s="539"/>
      <c r="P8" s="540"/>
      <c r="Q8" s="21" t="s">
        <v>3</v>
      </c>
      <c r="R8" s="20" t="s">
        <v>5</v>
      </c>
      <c r="S8" s="20" t="s">
        <v>0</v>
      </c>
      <c r="U8" s="22" t="s">
        <v>31</v>
      </c>
      <c r="V8" s="23"/>
    </row>
    <row r="9" spans="2:24" ht="13.5" x14ac:dyDescent="0.25">
      <c r="B9" s="24" t="s">
        <v>32</v>
      </c>
      <c r="C9" s="24" t="s">
        <v>33</v>
      </c>
      <c r="D9" s="24"/>
      <c r="E9" s="24" t="s">
        <v>34</v>
      </c>
      <c r="F9" s="24" t="s">
        <v>35</v>
      </c>
      <c r="G9" s="25" t="s">
        <v>36</v>
      </c>
      <c r="H9" s="25" t="s">
        <v>37</v>
      </c>
      <c r="I9" s="25" t="s">
        <v>38</v>
      </c>
      <c r="J9" s="25" t="s">
        <v>4</v>
      </c>
      <c r="K9" s="25" t="s">
        <v>39</v>
      </c>
      <c r="L9" s="26" t="s">
        <v>40</v>
      </c>
      <c r="M9" s="20" t="s">
        <v>41</v>
      </c>
      <c r="N9" s="27" t="s">
        <v>42</v>
      </c>
      <c r="O9" s="27" t="s">
        <v>43</v>
      </c>
      <c r="P9" s="27" t="s">
        <v>0</v>
      </c>
      <c r="Q9" s="27"/>
      <c r="R9" s="25" t="s">
        <v>44</v>
      </c>
      <c r="S9" s="25" t="s">
        <v>45</v>
      </c>
      <c r="U9" s="28">
        <v>8</v>
      </c>
      <c r="V9" s="29"/>
    </row>
    <row r="10" spans="2:24" ht="13.5" x14ac:dyDescent="0.25">
      <c r="B10" s="30" t="s">
        <v>46</v>
      </c>
      <c r="C10" s="30"/>
      <c r="D10" s="30"/>
      <c r="E10" s="30" t="s">
        <v>47</v>
      </c>
      <c r="F10" s="30" t="s">
        <v>47</v>
      </c>
      <c r="G10" s="31" t="s">
        <v>48</v>
      </c>
      <c r="H10" s="31" t="s">
        <v>48</v>
      </c>
      <c r="I10" s="31" t="s">
        <v>49</v>
      </c>
      <c r="J10" s="31" t="s">
        <v>49</v>
      </c>
      <c r="K10" s="31" t="s">
        <v>49</v>
      </c>
      <c r="L10" s="31" t="s">
        <v>49</v>
      </c>
      <c r="M10" s="31"/>
      <c r="N10" s="31" t="s">
        <v>47</v>
      </c>
      <c r="O10" s="31" t="s">
        <v>50</v>
      </c>
      <c r="P10" s="31" t="s">
        <v>49</v>
      </c>
      <c r="Q10" s="31" t="s">
        <v>49</v>
      </c>
      <c r="R10" s="31" t="s">
        <v>49</v>
      </c>
      <c r="S10" s="31" t="s">
        <v>49</v>
      </c>
      <c r="U10" s="7"/>
      <c r="V10" s="5"/>
    </row>
    <row r="11" spans="2:24" s="32" customFormat="1" ht="29.1" customHeight="1" x14ac:dyDescent="0.2">
      <c r="B11" s="33" t="s">
        <v>51</v>
      </c>
      <c r="C11" s="33" t="s">
        <v>17</v>
      </c>
      <c r="D11" s="33" t="s">
        <v>18</v>
      </c>
      <c r="E11" s="33" t="s">
        <v>52</v>
      </c>
      <c r="F11" s="34" t="str">
        <f>CONCATENATE("(5)= "&amp;K87*100&amp;"%(4)")</f>
        <v>(5)= 0%(4)</v>
      </c>
      <c r="G11" s="33" t="s">
        <v>19</v>
      </c>
      <c r="H11" s="35" t="s">
        <v>53</v>
      </c>
      <c r="I11" s="33" t="s">
        <v>54</v>
      </c>
      <c r="J11" s="33" t="s">
        <v>55</v>
      </c>
      <c r="K11" s="35" t="s">
        <v>56</v>
      </c>
      <c r="L11" s="36" t="s">
        <v>57</v>
      </c>
      <c r="M11" s="35" t="s">
        <v>58</v>
      </c>
      <c r="N11" s="33" t="s">
        <v>59</v>
      </c>
      <c r="O11" s="33" t="s">
        <v>60</v>
      </c>
      <c r="P11" s="36" t="s">
        <v>61</v>
      </c>
      <c r="Q11" s="34" t="str">
        <f>CONCATENATE("(16)= "&amp;O88*100&amp;"%(15)")</f>
        <v>(16)= 20%(15)</v>
      </c>
      <c r="R11" s="36" t="s">
        <v>62</v>
      </c>
      <c r="S11" s="37" t="s">
        <v>63</v>
      </c>
      <c r="U11" s="38"/>
      <c r="V11" s="39"/>
    </row>
    <row r="12" spans="2:24" s="32" customFormat="1" ht="13.5" customHeight="1" x14ac:dyDescent="0.25">
      <c r="B12" s="40">
        <v>1</v>
      </c>
      <c r="C12" s="41" t="s">
        <v>64</v>
      </c>
      <c r="D12" s="40">
        <v>110</v>
      </c>
      <c r="E12" s="42">
        <f>+'IN-12-11'!D121</f>
        <v>828421.28</v>
      </c>
      <c r="F12" s="42">
        <f t="shared" ref="F12:F75" si="0">E12*$K$87</f>
        <v>0</v>
      </c>
      <c r="G12" s="43">
        <v>10000</v>
      </c>
      <c r="H12" s="43">
        <v>2000</v>
      </c>
      <c r="I12" s="44">
        <f t="shared" ref="I12:I75" si="1">(E12-F12)/G12</f>
        <v>82.842128000000002</v>
      </c>
      <c r="J12" s="44">
        <f t="shared" ref="J12:J75" si="2">+(E12*0.5*$C$89)/(H12)</f>
        <v>24.8526384</v>
      </c>
      <c r="K12" s="44">
        <f t="shared" ref="K12:K75" si="3">+J12+I12</f>
        <v>107.69476640000001</v>
      </c>
      <c r="L12" s="44">
        <f t="shared" ref="L12:L75" si="4">I12*$K$88</f>
        <v>41.421064000000001</v>
      </c>
      <c r="M12" s="45" t="s">
        <v>65</v>
      </c>
      <c r="N12" s="46" t="e">
        <f t="shared" ref="N12:N75" si="5">IF(M12="",0,IF(M12="Gasoil",$G$87,$G$88))</f>
        <v>#REF!</v>
      </c>
      <c r="O12" s="47">
        <f t="shared" ref="O12:O75" si="6">$O$87</f>
        <v>0.14000000000000001</v>
      </c>
      <c r="P12" s="44" t="e">
        <f t="shared" ref="P12:P75" si="7">N12*O12*D12</f>
        <v>#REF!</v>
      </c>
      <c r="Q12" s="44" t="e">
        <f>P12*$O$88</f>
        <v>#REF!</v>
      </c>
      <c r="R12" s="44" t="e">
        <f t="shared" ref="R12:R75" si="8">+P12+Q12</f>
        <v>#REF!</v>
      </c>
      <c r="S12" s="48" t="e">
        <f t="shared" ref="S12:S75" si="9">+K12+L12+R12</f>
        <v>#REF!</v>
      </c>
      <c r="T12" s="50">
        <v>110000</v>
      </c>
      <c r="U12" s="50">
        <f>+T12*1.15</f>
        <v>126499.99999999999</v>
      </c>
      <c r="V12" s="51"/>
      <c r="W12" s="32" t="s">
        <v>66</v>
      </c>
    </row>
    <row r="13" spans="2:24" s="32" customFormat="1" ht="13.5" customHeight="1" x14ac:dyDescent="0.25">
      <c r="B13" s="40">
        <v>2</v>
      </c>
      <c r="C13" s="41" t="s">
        <v>67</v>
      </c>
      <c r="D13" s="40">
        <v>15</v>
      </c>
      <c r="E13" s="42">
        <f>+'IN-12-11'!D131</f>
        <v>23967.56</v>
      </c>
      <c r="F13" s="42">
        <f t="shared" si="0"/>
        <v>0</v>
      </c>
      <c r="G13" s="43">
        <v>10000</v>
      </c>
      <c r="H13" s="43">
        <v>2000</v>
      </c>
      <c r="I13" s="44">
        <f t="shared" si="1"/>
        <v>2.3967560000000003</v>
      </c>
      <c r="J13" s="44">
        <f t="shared" si="2"/>
        <v>0.71902679999999997</v>
      </c>
      <c r="K13" s="44">
        <f t="shared" si="3"/>
        <v>3.1157828000000003</v>
      </c>
      <c r="L13" s="44">
        <f t="shared" si="4"/>
        <v>1.1983780000000002</v>
      </c>
      <c r="M13" s="45" t="s">
        <v>15</v>
      </c>
      <c r="N13" s="52" t="e">
        <f t="shared" si="5"/>
        <v>#REF!</v>
      </c>
      <c r="O13" s="47">
        <f t="shared" si="6"/>
        <v>0.14000000000000001</v>
      </c>
      <c r="P13" s="44" t="e">
        <f t="shared" si="7"/>
        <v>#REF!</v>
      </c>
      <c r="Q13" s="44" t="e">
        <f t="shared" ref="Q13:Q76" si="10">P13*$O$88</f>
        <v>#REF!</v>
      </c>
      <c r="R13" s="44" t="e">
        <f t="shared" si="8"/>
        <v>#REF!</v>
      </c>
      <c r="S13" s="48" t="e">
        <f t="shared" si="9"/>
        <v>#REF!</v>
      </c>
      <c r="T13" s="50">
        <v>2500</v>
      </c>
      <c r="U13" s="50">
        <f t="shared" ref="U13:U76" si="11">+T13*1.15</f>
        <v>2875</v>
      </c>
      <c r="V13" s="51"/>
      <c r="W13" s="32" t="s">
        <v>66</v>
      </c>
    </row>
    <row r="14" spans="2:24" s="32" customFormat="1" ht="13.5" customHeight="1" x14ac:dyDescent="0.25">
      <c r="B14" s="40">
        <v>3</v>
      </c>
      <c r="C14" s="41" t="s">
        <v>68</v>
      </c>
      <c r="D14" s="40">
        <v>145</v>
      </c>
      <c r="E14" s="42">
        <f>U14*$U$9*1.2</f>
        <v>1214399.9999999998</v>
      </c>
      <c r="F14" s="42">
        <f t="shared" si="0"/>
        <v>0</v>
      </c>
      <c r="G14" s="43">
        <v>10000</v>
      </c>
      <c r="H14" s="43">
        <v>2000</v>
      </c>
      <c r="I14" s="44">
        <f t="shared" si="1"/>
        <v>121.43999999999998</v>
      </c>
      <c r="J14" s="44">
        <f t="shared" si="2"/>
        <v>36.431999999999995</v>
      </c>
      <c r="K14" s="44">
        <f t="shared" si="3"/>
        <v>157.87199999999999</v>
      </c>
      <c r="L14" s="44">
        <f t="shared" si="4"/>
        <v>60.719999999999992</v>
      </c>
      <c r="M14" s="45" t="s">
        <v>65</v>
      </c>
      <c r="N14" s="52" t="e">
        <f t="shared" si="5"/>
        <v>#REF!</v>
      </c>
      <c r="O14" s="47">
        <f t="shared" si="6"/>
        <v>0.14000000000000001</v>
      </c>
      <c r="P14" s="44" t="e">
        <f t="shared" si="7"/>
        <v>#REF!</v>
      </c>
      <c r="Q14" s="44" t="e">
        <f t="shared" si="10"/>
        <v>#REF!</v>
      </c>
      <c r="R14" s="44" t="e">
        <f t="shared" si="8"/>
        <v>#REF!</v>
      </c>
      <c r="S14" s="48" t="e">
        <f t="shared" si="9"/>
        <v>#REF!</v>
      </c>
      <c r="T14" s="50">
        <v>110000</v>
      </c>
      <c r="U14" s="50">
        <f t="shared" si="11"/>
        <v>126499.99999999999</v>
      </c>
      <c r="V14" s="51"/>
      <c r="W14" s="32" t="s">
        <v>69</v>
      </c>
      <c r="X14" s="53" t="s">
        <v>70</v>
      </c>
    </row>
    <row r="15" spans="2:24" s="32" customFormat="1" ht="13.5" customHeight="1" x14ac:dyDescent="0.25">
      <c r="B15" s="40">
        <v>4</v>
      </c>
      <c r="C15" s="41" t="s">
        <v>71</v>
      </c>
      <c r="D15" s="40">
        <v>170</v>
      </c>
      <c r="E15" s="42">
        <f>U15*$U$9*1.2</f>
        <v>4195199.9999999991</v>
      </c>
      <c r="F15" s="42">
        <f t="shared" si="0"/>
        <v>0</v>
      </c>
      <c r="G15" s="43">
        <v>10000</v>
      </c>
      <c r="H15" s="43">
        <v>2000</v>
      </c>
      <c r="I15" s="44">
        <f t="shared" si="1"/>
        <v>419.51999999999992</v>
      </c>
      <c r="J15" s="44">
        <f t="shared" si="2"/>
        <v>125.85599999999997</v>
      </c>
      <c r="K15" s="44">
        <f t="shared" si="3"/>
        <v>545.37599999999986</v>
      </c>
      <c r="L15" s="44">
        <f t="shared" si="4"/>
        <v>209.75999999999996</v>
      </c>
      <c r="M15" s="45" t="s">
        <v>65</v>
      </c>
      <c r="N15" s="52" t="e">
        <f t="shared" si="5"/>
        <v>#REF!</v>
      </c>
      <c r="O15" s="47">
        <f t="shared" si="6"/>
        <v>0.14000000000000001</v>
      </c>
      <c r="P15" s="44" t="e">
        <f t="shared" si="7"/>
        <v>#REF!</v>
      </c>
      <c r="Q15" s="44" t="e">
        <f t="shared" si="10"/>
        <v>#REF!</v>
      </c>
      <c r="R15" s="44" t="e">
        <f t="shared" si="8"/>
        <v>#REF!</v>
      </c>
      <c r="S15" s="48" t="e">
        <f t="shared" si="9"/>
        <v>#REF!</v>
      </c>
      <c r="T15" s="50">
        <v>380000</v>
      </c>
      <c r="U15" s="50">
        <f t="shared" si="11"/>
        <v>436999.99999999994</v>
      </c>
      <c r="V15" s="51"/>
      <c r="W15" s="32" t="s">
        <v>72</v>
      </c>
    </row>
    <row r="16" spans="2:24" s="32" customFormat="1" ht="13.5" customHeight="1" x14ac:dyDescent="0.25">
      <c r="B16" s="40">
        <v>5</v>
      </c>
      <c r="C16" s="41" t="s">
        <v>73</v>
      </c>
      <c r="D16" s="40"/>
      <c r="E16" s="42">
        <f>+'IN-12-11'!D165</f>
        <v>158800</v>
      </c>
      <c r="F16" s="42">
        <f t="shared" si="0"/>
        <v>0</v>
      </c>
      <c r="G16" s="43">
        <v>10000</v>
      </c>
      <c r="H16" s="43">
        <v>2000</v>
      </c>
      <c r="I16" s="44">
        <f t="shared" si="1"/>
        <v>15.88</v>
      </c>
      <c r="J16" s="44">
        <f t="shared" si="2"/>
        <v>4.7640000000000002</v>
      </c>
      <c r="K16" s="44">
        <f t="shared" si="3"/>
        <v>20.644000000000002</v>
      </c>
      <c r="L16" s="44">
        <f t="shared" si="4"/>
        <v>7.94</v>
      </c>
      <c r="M16" s="45"/>
      <c r="N16" s="52">
        <f t="shared" si="5"/>
        <v>0</v>
      </c>
      <c r="O16" s="47">
        <f t="shared" si="6"/>
        <v>0.14000000000000001</v>
      </c>
      <c r="P16" s="44">
        <f t="shared" si="7"/>
        <v>0</v>
      </c>
      <c r="Q16" s="44">
        <f t="shared" si="10"/>
        <v>0</v>
      </c>
      <c r="R16" s="44">
        <f t="shared" si="8"/>
        <v>0</v>
      </c>
      <c r="S16" s="48">
        <f t="shared" si="9"/>
        <v>28.584000000000003</v>
      </c>
      <c r="T16" s="50">
        <v>15000</v>
      </c>
      <c r="U16" s="50">
        <f t="shared" si="11"/>
        <v>17250</v>
      </c>
      <c r="V16" s="51"/>
      <c r="W16" s="32" t="s">
        <v>74</v>
      </c>
    </row>
    <row r="17" spans="2:23" ht="13.5" x14ac:dyDescent="0.25">
      <c r="B17" s="40">
        <v>6</v>
      </c>
      <c r="C17" s="41" t="s">
        <v>75</v>
      </c>
      <c r="D17" s="40">
        <v>2.7</v>
      </c>
      <c r="E17" s="42">
        <f>U17*$U$9*1.4</f>
        <v>37351.999999999993</v>
      </c>
      <c r="F17" s="42">
        <f t="shared" si="0"/>
        <v>0</v>
      </c>
      <c r="G17" s="43">
        <v>10000</v>
      </c>
      <c r="H17" s="43">
        <v>2000</v>
      </c>
      <c r="I17" s="44">
        <f t="shared" si="1"/>
        <v>3.7351999999999994</v>
      </c>
      <c r="J17" s="44">
        <f t="shared" si="2"/>
        <v>1.1205599999999998</v>
      </c>
      <c r="K17" s="44">
        <f t="shared" si="3"/>
        <v>4.8557599999999992</v>
      </c>
      <c r="L17" s="44">
        <f t="shared" si="4"/>
        <v>1.8675999999999997</v>
      </c>
      <c r="M17" s="45"/>
      <c r="N17" s="52">
        <f t="shared" si="5"/>
        <v>0</v>
      </c>
      <c r="O17" s="47">
        <f t="shared" si="6"/>
        <v>0.14000000000000001</v>
      </c>
      <c r="P17" s="44">
        <f t="shared" si="7"/>
        <v>0</v>
      </c>
      <c r="Q17" s="44">
        <f t="shared" si="10"/>
        <v>0</v>
      </c>
      <c r="R17" s="44">
        <f t="shared" si="8"/>
        <v>0</v>
      </c>
      <c r="S17" s="48">
        <f t="shared" si="9"/>
        <v>6.7233599999999987</v>
      </c>
      <c r="T17" s="50">
        <v>2900</v>
      </c>
      <c r="U17" s="50">
        <f t="shared" si="11"/>
        <v>3334.9999999999995</v>
      </c>
      <c r="V17" s="51"/>
    </row>
    <row r="18" spans="2:23" ht="13.5" x14ac:dyDescent="0.25">
      <c r="B18" s="40">
        <v>7</v>
      </c>
      <c r="C18" s="41" t="s">
        <v>76</v>
      </c>
      <c r="D18" s="40">
        <v>310</v>
      </c>
      <c r="E18" s="42">
        <f>+'IN-12-11'!D117</f>
        <v>999970.92</v>
      </c>
      <c r="F18" s="42">
        <f t="shared" si="0"/>
        <v>0</v>
      </c>
      <c r="G18" s="43">
        <v>10000</v>
      </c>
      <c r="H18" s="43">
        <v>2000</v>
      </c>
      <c r="I18" s="44">
        <f t="shared" si="1"/>
        <v>99.997092000000009</v>
      </c>
      <c r="J18" s="44">
        <f t="shared" si="2"/>
        <v>29.999127600000001</v>
      </c>
      <c r="K18" s="44">
        <f t="shared" si="3"/>
        <v>129.99621960000002</v>
      </c>
      <c r="L18" s="44">
        <f t="shared" si="4"/>
        <v>49.998546000000005</v>
      </c>
      <c r="M18" s="45" t="s">
        <v>65</v>
      </c>
      <c r="N18" s="52" t="e">
        <f t="shared" si="5"/>
        <v>#REF!</v>
      </c>
      <c r="O18" s="47">
        <f t="shared" si="6"/>
        <v>0.14000000000000001</v>
      </c>
      <c r="P18" s="44" t="e">
        <f t="shared" si="7"/>
        <v>#REF!</v>
      </c>
      <c r="Q18" s="44" t="e">
        <f t="shared" si="10"/>
        <v>#REF!</v>
      </c>
      <c r="R18" s="44" t="e">
        <f t="shared" si="8"/>
        <v>#REF!</v>
      </c>
      <c r="S18" s="48" t="e">
        <f t="shared" si="9"/>
        <v>#REF!</v>
      </c>
      <c r="T18" s="50">
        <v>85000</v>
      </c>
      <c r="U18" s="50">
        <f t="shared" si="11"/>
        <v>97749.999999999985</v>
      </c>
      <c r="V18" s="51"/>
      <c r="W18" s="53" t="s">
        <v>77</v>
      </c>
    </row>
    <row r="19" spans="2:23" ht="13.5" x14ac:dyDescent="0.25">
      <c r="B19" s="40">
        <v>8</v>
      </c>
      <c r="C19" s="41" t="s">
        <v>78</v>
      </c>
      <c r="D19" s="40">
        <v>145</v>
      </c>
      <c r="E19" s="42">
        <f>+'IN-12-11'!D180</f>
        <v>186767.1096</v>
      </c>
      <c r="F19" s="42">
        <f t="shared" si="0"/>
        <v>0</v>
      </c>
      <c r="G19" s="43">
        <v>10000</v>
      </c>
      <c r="H19" s="43">
        <v>2000</v>
      </c>
      <c r="I19" s="44">
        <f t="shared" si="1"/>
        <v>18.676710960000001</v>
      </c>
      <c r="J19" s="44">
        <f t="shared" si="2"/>
        <v>5.6030132880000005</v>
      </c>
      <c r="K19" s="44">
        <f t="shared" si="3"/>
        <v>24.279724248000001</v>
      </c>
      <c r="L19" s="44">
        <f t="shared" si="4"/>
        <v>9.3383554800000006</v>
      </c>
      <c r="M19" s="45" t="s">
        <v>65</v>
      </c>
      <c r="N19" s="52" t="e">
        <f t="shared" si="5"/>
        <v>#REF!</v>
      </c>
      <c r="O19" s="47">
        <f t="shared" si="6"/>
        <v>0.14000000000000001</v>
      </c>
      <c r="P19" s="44" t="e">
        <f t="shared" si="7"/>
        <v>#REF!</v>
      </c>
      <c r="Q19" s="44" t="e">
        <f t="shared" si="10"/>
        <v>#REF!</v>
      </c>
      <c r="R19" s="44" t="e">
        <f t="shared" si="8"/>
        <v>#REF!</v>
      </c>
      <c r="S19" s="48" t="e">
        <f t="shared" si="9"/>
        <v>#REF!</v>
      </c>
      <c r="T19" s="50">
        <v>60000</v>
      </c>
      <c r="U19" s="50">
        <f t="shared" si="11"/>
        <v>69000</v>
      </c>
      <c r="V19" s="51"/>
      <c r="W19" s="53" t="s">
        <v>79</v>
      </c>
    </row>
    <row r="20" spans="2:23" ht="13.5" x14ac:dyDescent="0.25">
      <c r="B20" s="40">
        <v>9</v>
      </c>
      <c r="C20" s="41" t="s">
        <v>80</v>
      </c>
      <c r="D20" s="40">
        <v>310</v>
      </c>
      <c r="E20" s="42">
        <f>+'IN-12-11'!D125</f>
        <v>1562879.48</v>
      </c>
      <c r="F20" s="42">
        <f t="shared" si="0"/>
        <v>0</v>
      </c>
      <c r="G20" s="43">
        <v>10000</v>
      </c>
      <c r="H20" s="43">
        <v>2000</v>
      </c>
      <c r="I20" s="44">
        <f t="shared" si="1"/>
        <v>156.287948</v>
      </c>
      <c r="J20" s="44">
        <f t="shared" si="2"/>
        <v>46.886384399999997</v>
      </c>
      <c r="K20" s="44">
        <f t="shared" si="3"/>
        <v>203.1743324</v>
      </c>
      <c r="L20" s="44">
        <f t="shared" si="4"/>
        <v>78.143974</v>
      </c>
      <c r="M20" s="45" t="s">
        <v>65</v>
      </c>
      <c r="N20" s="52" t="e">
        <f t="shared" si="5"/>
        <v>#REF!</v>
      </c>
      <c r="O20" s="47">
        <f t="shared" si="6"/>
        <v>0.14000000000000001</v>
      </c>
      <c r="P20" s="44" t="e">
        <f t="shared" si="7"/>
        <v>#REF!</v>
      </c>
      <c r="Q20" s="44" t="e">
        <f t="shared" si="10"/>
        <v>#REF!</v>
      </c>
      <c r="R20" s="44" t="e">
        <f t="shared" si="8"/>
        <v>#REF!</v>
      </c>
      <c r="S20" s="48" t="e">
        <f t="shared" si="9"/>
        <v>#REF!</v>
      </c>
      <c r="T20" s="50">
        <v>120000</v>
      </c>
      <c r="U20" s="50">
        <f t="shared" si="11"/>
        <v>138000</v>
      </c>
      <c r="V20" s="51"/>
      <c r="W20" s="32" t="s">
        <v>81</v>
      </c>
    </row>
    <row r="21" spans="2:23" ht="13.5" x14ac:dyDescent="0.25">
      <c r="B21" s="40">
        <v>10</v>
      </c>
      <c r="C21" s="41" t="s">
        <v>82</v>
      </c>
      <c r="D21" s="40">
        <v>145</v>
      </c>
      <c r="E21" s="42">
        <f>+'IN-12-11'!D161*1.2</f>
        <v>116400</v>
      </c>
      <c r="F21" s="42">
        <f t="shared" si="0"/>
        <v>0</v>
      </c>
      <c r="G21" s="43">
        <v>10000</v>
      </c>
      <c r="H21" s="43">
        <v>2000</v>
      </c>
      <c r="I21" s="44">
        <f t="shared" si="1"/>
        <v>11.64</v>
      </c>
      <c r="J21" s="44">
        <f t="shared" si="2"/>
        <v>3.492</v>
      </c>
      <c r="K21" s="44">
        <f t="shared" si="3"/>
        <v>15.132000000000001</v>
      </c>
      <c r="L21" s="44">
        <f t="shared" si="4"/>
        <v>5.82</v>
      </c>
      <c r="M21" s="45" t="s">
        <v>65</v>
      </c>
      <c r="N21" s="52" t="e">
        <f t="shared" si="5"/>
        <v>#REF!</v>
      </c>
      <c r="O21" s="47">
        <f t="shared" si="6"/>
        <v>0.14000000000000001</v>
      </c>
      <c r="P21" s="44" t="e">
        <f t="shared" si="7"/>
        <v>#REF!</v>
      </c>
      <c r="Q21" s="44" t="e">
        <f t="shared" si="10"/>
        <v>#REF!</v>
      </c>
      <c r="R21" s="44" t="e">
        <f t="shared" si="8"/>
        <v>#REF!</v>
      </c>
      <c r="S21" s="48" t="e">
        <f t="shared" si="9"/>
        <v>#REF!</v>
      </c>
      <c r="T21" s="50">
        <v>55000</v>
      </c>
      <c r="U21" s="50">
        <f t="shared" si="11"/>
        <v>63249.999999999993</v>
      </c>
      <c r="V21" s="51"/>
      <c r="W21" s="32" t="s">
        <v>66</v>
      </c>
    </row>
    <row r="22" spans="2:23" ht="13.5" x14ac:dyDescent="0.25">
      <c r="B22" s="40">
        <v>11</v>
      </c>
      <c r="C22" s="41" t="s">
        <v>83</v>
      </c>
      <c r="D22" s="40">
        <v>180</v>
      </c>
      <c r="E22" s="42">
        <f>+'IN-12-11'!D163</f>
        <v>223850</v>
      </c>
      <c r="F22" s="42">
        <f t="shared" si="0"/>
        <v>0</v>
      </c>
      <c r="G22" s="43">
        <v>10000</v>
      </c>
      <c r="H22" s="43">
        <v>2000</v>
      </c>
      <c r="I22" s="44">
        <f t="shared" si="1"/>
        <v>22.385000000000002</v>
      </c>
      <c r="J22" s="44">
        <f t="shared" si="2"/>
        <v>6.7154999999999996</v>
      </c>
      <c r="K22" s="44">
        <f t="shared" si="3"/>
        <v>29.1005</v>
      </c>
      <c r="L22" s="44">
        <f t="shared" si="4"/>
        <v>11.192500000000001</v>
      </c>
      <c r="M22" s="45" t="s">
        <v>65</v>
      </c>
      <c r="N22" s="52" t="e">
        <f t="shared" si="5"/>
        <v>#REF!</v>
      </c>
      <c r="O22" s="47">
        <f t="shared" si="6"/>
        <v>0.14000000000000001</v>
      </c>
      <c r="P22" s="44" t="e">
        <f t="shared" si="7"/>
        <v>#REF!</v>
      </c>
      <c r="Q22" s="44" t="e">
        <f t="shared" si="10"/>
        <v>#REF!</v>
      </c>
      <c r="R22" s="44" t="e">
        <f t="shared" si="8"/>
        <v>#REF!</v>
      </c>
      <c r="S22" s="48" t="e">
        <f t="shared" si="9"/>
        <v>#REF!</v>
      </c>
      <c r="T22" s="50">
        <v>70000</v>
      </c>
      <c r="U22" s="50">
        <f t="shared" si="11"/>
        <v>80500</v>
      </c>
      <c r="V22" s="51"/>
      <c r="W22" s="32" t="s">
        <v>66</v>
      </c>
    </row>
    <row r="23" spans="2:23" ht="13.5" x14ac:dyDescent="0.25">
      <c r="B23" s="40">
        <v>12</v>
      </c>
      <c r="C23" s="41" t="s">
        <v>84</v>
      </c>
      <c r="D23" s="40">
        <v>450</v>
      </c>
      <c r="E23" s="42">
        <f>U23*$U$9</f>
        <v>4139999.9999999995</v>
      </c>
      <c r="F23" s="42">
        <f t="shared" si="0"/>
        <v>0</v>
      </c>
      <c r="G23" s="43">
        <v>10000</v>
      </c>
      <c r="H23" s="43">
        <v>2000</v>
      </c>
      <c r="I23" s="44">
        <f t="shared" si="1"/>
        <v>413.99999999999994</v>
      </c>
      <c r="J23" s="44">
        <f t="shared" si="2"/>
        <v>124.19999999999999</v>
      </c>
      <c r="K23" s="44">
        <f t="shared" si="3"/>
        <v>538.19999999999993</v>
      </c>
      <c r="L23" s="44">
        <f t="shared" si="4"/>
        <v>206.99999999999997</v>
      </c>
      <c r="M23" s="45" t="s">
        <v>65</v>
      </c>
      <c r="N23" s="52" t="e">
        <f t="shared" si="5"/>
        <v>#REF!</v>
      </c>
      <c r="O23" s="47">
        <f t="shared" si="6"/>
        <v>0.14000000000000001</v>
      </c>
      <c r="P23" s="44" t="e">
        <f t="shared" si="7"/>
        <v>#REF!</v>
      </c>
      <c r="Q23" s="44" t="e">
        <f t="shared" si="10"/>
        <v>#REF!</v>
      </c>
      <c r="R23" s="44" t="e">
        <f t="shared" si="8"/>
        <v>#REF!</v>
      </c>
      <c r="S23" s="48" t="e">
        <f t="shared" si="9"/>
        <v>#REF!</v>
      </c>
      <c r="T23" s="50">
        <v>450000</v>
      </c>
      <c r="U23" s="50">
        <f t="shared" si="11"/>
        <v>517499.99999999994</v>
      </c>
      <c r="V23" s="51"/>
      <c r="W23" s="32"/>
    </row>
    <row r="24" spans="2:23" ht="13.5" x14ac:dyDescent="0.25">
      <c r="B24" s="40">
        <v>13</v>
      </c>
      <c r="C24" s="41" t="s">
        <v>85</v>
      </c>
      <c r="D24" s="40">
        <v>310</v>
      </c>
      <c r="E24" s="42">
        <f>+'IN-12-11'!D186</f>
        <v>553035.85</v>
      </c>
      <c r="F24" s="42">
        <f t="shared" si="0"/>
        <v>0</v>
      </c>
      <c r="G24" s="43">
        <v>10000</v>
      </c>
      <c r="H24" s="43">
        <v>2000</v>
      </c>
      <c r="I24" s="44">
        <f t="shared" si="1"/>
        <v>55.303584999999998</v>
      </c>
      <c r="J24" s="44">
        <f t="shared" si="2"/>
        <v>16.591075499999999</v>
      </c>
      <c r="K24" s="44">
        <f t="shared" si="3"/>
        <v>71.894660500000001</v>
      </c>
      <c r="L24" s="44">
        <f t="shared" si="4"/>
        <v>27.651792499999999</v>
      </c>
      <c r="M24" s="45" t="s">
        <v>65</v>
      </c>
      <c r="N24" s="52" t="e">
        <f t="shared" si="5"/>
        <v>#REF!</v>
      </c>
      <c r="O24" s="47">
        <f t="shared" si="6"/>
        <v>0.14000000000000001</v>
      </c>
      <c r="P24" s="44" t="e">
        <f t="shared" si="7"/>
        <v>#REF!</v>
      </c>
      <c r="Q24" s="44" t="e">
        <f t="shared" si="10"/>
        <v>#REF!</v>
      </c>
      <c r="R24" s="44" t="e">
        <f t="shared" si="8"/>
        <v>#REF!</v>
      </c>
      <c r="S24" s="48" t="e">
        <f t="shared" si="9"/>
        <v>#REF!</v>
      </c>
      <c r="T24" s="50">
        <v>65000</v>
      </c>
      <c r="U24" s="50">
        <f t="shared" si="11"/>
        <v>74750</v>
      </c>
      <c r="V24" s="51"/>
      <c r="W24" s="53" t="s">
        <v>77</v>
      </c>
    </row>
    <row r="25" spans="2:23" ht="13.5" x14ac:dyDescent="0.25">
      <c r="B25" s="40">
        <v>14</v>
      </c>
      <c r="C25" s="41" t="s">
        <v>86</v>
      </c>
      <c r="D25" s="40">
        <v>145</v>
      </c>
      <c r="E25" s="42">
        <f>+'IN-12-11'!D106+'IN-12-11'!D108</f>
        <v>588749.6875</v>
      </c>
      <c r="F25" s="42">
        <f t="shared" si="0"/>
        <v>0</v>
      </c>
      <c r="G25" s="43">
        <v>10000</v>
      </c>
      <c r="H25" s="43">
        <v>2000</v>
      </c>
      <c r="I25" s="44">
        <f t="shared" si="1"/>
        <v>58.874968750000001</v>
      </c>
      <c r="J25" s="44">
        <f t="shared" si="2"/>
        <v>17.662490625</v>
      </c>
      <c r="K25" s="44">
        <f t="shared" si="3"/>
        <v>76.537459374999997</v>
      </c>
      <c r="L25" s="44">
        <f t="shared" si="4"/>
        <v>29.437484375</v>
      </c>
      <c r="M25" s="45" t="s">
        <v>65</v>
      </c>
      <c r="N25" s="52" t="e">
        <f t="shared" si="5"/>
        <v>#REF!</v>
      </c>
      <c r="O25" s="47">
        <f t="shared" si="6"/>
        <v>0.14000000000000001</v>
      </c>
      <c r="P25" s="44" t="e">
        <f t="shared" si="7"/>
        <v>#REF!</v>
      </c>
      <c r="Q25" s="44" t="e">
        <f t="shared" si="10"/>
        <v>#REF!</v>
      </c>
      <c r="R25" s="44" t="e">
        <f t="shared" si="8"/>
        <v>#REF!</v>
      </c>
      <c r="S25" s="48" t="e">
        <f t="shared" si="9"/>
        <v>#REF!</v>
      </c>
      <c r="T25" s="50">
        <v>58000</v>
      </c>
      <c r="U25" s="50">
        <f t="shared" si="11"/>
        <v>66700</v>
      </c>
      <c r="V25" s="51"/>
      <c r="W25" s="12" t="s">
        <v>66</v>
      </c>
    </row>
    <row r="26" spans="2:23" ht="13.5" x14ac:dyDescent="0.25">
      <c r="B26" s="40">
        <v>15</v>
      </c>
      <c r="C26" s="41" t="s">
        <v>87</v>
      </c>
      <c r="D26" s="40">
        <v>310</v>
      </c>
      <c r="E26" s="42">
        <f>+E18</f>
        <v>999970.92</v>
      </c>
      <c r="F26" s="42">
        <f t="shared" si="0"/>
        <v>0</v>
      </c>
      <c r="G26" s="43">
        <v>10000</v>
      </c>
      <c r="H26" s="43">
        <v>2000</v>
      </c>
      <c r="I26" s="44">
        <f t="shared" si="1"/>
        <v>99.997092000000009</v>
      </c>
      <c r="J26" s="44">
        <f t="shared" si="2"/>
        <v>29.999127600000001</v>
      </c>
      <c r="K26" s="44">
        <f t="shared" si="3"/>
        <v>129.99621960000002</v>
      </c>
      <c r="L26" s="44">
        <f t="shared" si="4"/>
        <v>49.998546000000005</v>
      </c>
      <c r="M26" s="45" t="s">
        <v>65</v>
      </c>
      <c r="N26" s="52" t="e">
        <f t="shared" si="5"/>
        <v>#REF!</v>
      </c>
      <c r="O26" s="47">
        <f t="shared" si="6"/>
        <v>0.14000000000000001</v>
      </c>
      <c r="P26" s="44" t="e">
        <f t="shared" si="7"/>
        <v>#REF!</v>
      </c>
      <c r="Q26" s="44" t="e">
        <f t="shared" si="10"/>
        <v>#REF!</v>
      </c>
      <c r="R26" s="44" t="e">
        <f t="shared" si="8"/>
        <v>#REF!</v>
      </c>
      <c r="S26" s="48" t="e">
        <f t="shared" si="9"/>
        <v>#REF!</v>
      </c>
      <c r="T26" s="50">
        <v>120000</v>
      </c>
      <c r="U26" s="50">
        <f t="shared" si="11"/>
        <v>138000</v>
      </c>
      <c r="V26" s="51"/>
      <c r="W26" s="12" t="s">
        <v>81</v>
      </c>
    </row>
    <row r="27" spans="2:23" ht="13.5" x14ac:dyDescent="0.25">
      <c r="B27" s="40">
        <v>16</v>
      </c>
      <c r="C27" s="41" t="s">
        <v>88</v>
      </c>
      <c r="D27" s="40">
        <v>80</v>
      </c>
      <c r="E27" s="42">
        <f>+'IN-12-11'!D169*1.2</f>
        <v>242943.23135999998</v>
      </c>
      <c r="F27" s="42">
        <f t="shared" si="0"/>
        <v>0</v>
      </c>
      <c r="G27" s="43">
        <v>10000</v>
      </c>
      <c r="H27" s="43">
        <v>2000</v>
      </c>
      <c r="I27" s="44">
        <f t="shared" si="1"/>
        <v>24.294323135999999</v>
      </c>
      <c r="J27" s="44">
        <f t="shared" si="2"/>
        <v>7.2882969407999987</v>
      </c>
      <c r="K27" s="44">
        <f t="shared" si="3"/>
        <v>31.582620076799998</v>
      </c>
      <c r="L27" s="44">
        <f t="shared" si="4"/>
        <v>12.147161568</v>
      </c>
      <c r="M27" s="45" t="s">
        <v>65</v>
      </c>
      <c r="N27" s="52" t="e">
        <f t="shared" si="5"/>
        <v>#REF!</v>
      </c>
      <c r="O27" s="47">
        <f t="shared" si="6"/>
        <v>0.14000000000000001</v>
      </c>
      <c r="P27" s="44" t="e">
        <f t="shared" si="7"/>
        <v>#REF!</v>
      </c>
      <c r="Q27" s="44" t="e">
        <f t="shared" si="10"/>
        <v>#REF!</v>
      </c>
      <c r="R27" s="44" t="e">
        <f t="shared" si="8"/>
        <v>#REF!</v>
      </c>
      <c r="S27" s="48" t="e">
        <f t="shared" si="9"/>
        <v>#REF!</v>
      </c>
      <c r="T27" s="50">
        <v>25000</v>
      </c>
      <c r="U27" s="50">
        <f t="shared" si="11"/>
        <v>28749.999999999996</v>
      </c>
      <c r="V27" s="51"/>
      <c r="W27" s="12"/>
    </row>
    <row r="28" spans="2:23" ht="13.5" x14ac:dyDescent="0.25">
      <c r="B28" s="40">
        <v>17</v>
      </c>
      <c r="C28" s="41" t="s">
        <v>89</v>
      </c>
      <c r="D28" s="40">
        <v>100</v>
      </c>
      <c r="E28" s="42">
        <f>U28*$U$9*1.4</f>
        <v>373520</v>
      </c>
      <c r="F28" s="42">
        <f t="shared" si="0"/>
        <v>0</v>
      </c>
      <c r="G28" s="43">
        <v>10000</v>
      </c>
      <c r="H28" s="43">
        <v>2000</v>
      </c>
      <c r="I28" s="44">
        <f t="shared" si="1"/>
        <v>37.351999999999997</v>
      </c>
      <c r="J28" s="44">
        <f t="shared" si="2"/>
        <v>11.2056</v>
      </c>
      <c r="K28" s="44">
        <f t="shared" si="3"/>
        <v>48.557599999999994</v>
      </c>
      <c r="L28" s="44">
        <f t="shared" si="4"/>
        <v>18.675999999999998</v>
      </c>
      <c r="M28" s="45" t="s">
        <v>65</v>
      </c>
      <c r="N28" s="52" t="e">
        <f t="shared" si="5"/>
        <v>#REF!</v>
      </c>
      <c r="O28" s="47">
        <f t="shared" si="6"/>
        <v>0.14000000000000001</v>
      </c>
      <c r="P28" s="44" t="e">
        <f t="shared" si="7"/>
        <v>#REF!</v>
      </c>
      <c r="Q28" s="44" t="e">
        <f t="shared" si="10"/>
        <v>#REF!</v>
      </c>
      <c r="R28" s="44" t="e">
        <f t="shared" si="8"/>
        <v>#REF!</v>
      </c>
      <c r="S28" s="48" t="e">
        <f t="shared" si="9"/>
        <v>#REF!</v>
      </c>
      <c r="T28" s="50">
        <v>29000</v>
      </c>
      <c r="U28" s="50">
        <f t="shared" si="11"/>
        <v>33350</v>
      </c>
      <c r="V28" s="51"/>
      <c r="W28" s="12"/>
    </row>
    <row r="29" spans="2:23" ht="13.5" x14ac:dyDescent="0.25">
      <c r="B29" s="40">
        <v>18</v>
      </c>
      <c r="C29" s="41" t="s">
        <v>90</v>
      </c>
      <c r="D29" s="40">
        <v>140</v>
      </c>
      <c r="E29" s="42">
        <f>+'IN-12-11'!D119</f>
        <v>1291405.5083999999</v>
      </c>
      <c r="F29" s="42">
        <f t="shared" si="0"/>
        <v>0</v>
      </c>
      <c r="G29" s="43">
        <v>10000</v>
      </c>
      <c r="H29" s="43">
        <v>2000</v>
      </c>
      <c r="I29" s="44">
        <f t="shared" si="1"/>
        <v>129.14055084</v>
      </c>
      <c r="J29" s="44">
        <f t="shared" si="2"/>
        <v>38.742165251999999</v>
      </c>
      <c r="K29" s="44">
        <f t="shared" si="3"/>
        <v>167.88271609200001</v>
      </c>
      <c r="L29" s="44">
        <f t="shared" si="4"/>
        <v>64.570275420000002</v>
      </c>
      <c r="M29" s="45" t="s">
        <v>65</v>
      </c>
      <c r="N29" s="52" t="e">
        <f t="shared" si="5"/>
        <v>#REF!</v>
      </c>
      <c r="O29" s="47">
        <f t="shared" si="6"/>
        <v>0.14000000000000001</v>
      </c>
      <c r="P29" s="44" t="e">
        <f t="shared" si="7"/>
        <v>#REF!</v>
      </c>
      <c r="Q29" s="44" t="e">
        <f t="shared" si="10"/>
        <v>#REF!</v>
      </c>
      <c r="R29" s="44" t="e">
        <f t="shared" si="8"/>
        <v>#REF!</v>
      </c>
      <c r="S29" s="48" t="e">
        <f t="shared" si="9"/>
        <v>#REF!</v>
      </c>
      <c r="T29" s="50">
        <v>150000</v>
      </c>
      <c r="U29" s="50">
        <f t="shared" si="11"/>
        <v>172500</v>
      </c>
      <c r="V29" s="51"/>
      <c r="W29" s="12" t="s">
        <v>91</v>
      </c>
    </row>
    <row r="30" spans="2:23" ht="13.5" x14ac:dyDescent="0.25">
      <c r="B30" s="40">
        <v>19</v>
      </c>
      <c r="C30" s="41" t="s">
        <v>92</v>
      </c>
      <c r="D30" s="40">
        <v>160</v>
      </c>
      <c r="E30" s="42">
        <f>U30*$U$9*1.12</f>
        <v>1700160</v>
      </c>
      <c r="F30" s="42">
        <f t="shared" si="0"/>
        <v>0</v>
      </c>
      <c r="G30" s="43">
        <v>10000</v>
      </c>
      <c r="H30" s="43">
        <v>2000</v>
      </c>
      <c r="I30" s="44">
        <f t="shared" si="1"/>
        <v>170.01599999999999</v>
      </c>
      <c r="J30" s="44">
        <f t="shared" si="2"/>
        <v>51.004799999999996</v>
      </c>
      <c r="K30" s="44">
        <f t="shared" si="3"/>
        <v>221.02079999999998</v>
      </c>
      <c r="L30" s="44">
        <f t="shared" si="4"/>
        <v>85.007999999999996</v>
      </c>
      <c r="M30" s="45" t="s">
        <v>65</v>
      </c>
      <c r="N30" s="52" t="e">
        <f t="shared" si="5"/>
        <v>#REF!</v>
      </c>
      <c r="O30" s="47">
        <f t="shared" si="6"/>
        <v>0.14000000000000001</v>
      </c>
      <c r="P30" s="44" t="e">
        <f t="shared" si="7"/>
        <v>#REF!</v>
      </c>
      <c r="Q30" s="44" t="e">
        <f t="shared" si="10"/>
        <v>#REF!</v>
      </c>
      <c r="R30" s="44" t="e">
        <f t="shared" si="8"/>
        <v>#REF!</v>
      </c>
      <c r="S30" s="48" t="e">
        <f t="shared" si="9"/>
        <v>#REF!</v>
      </c>
      <c r="T30" s="50">
        <v>165000</v>
      </c>
      <c r="U30" s="50">
        <f t="shared" si="11"/>
        <v>189749.99999999997</v>
      </c>
      <c r="V30" s="51"/>
      <c r="W30" s="12" t="s">
        <v>93</v>
      </c>
    </row>
    <row r="31" spans="2:23" ht="13.5" x14ac:dyDescent="0.25">
      <c r="B31" s="40">
        <v>20</v>
      </c>
      <c r="C31" s="41" t="s">
        <v>94</v>
      </c>
      <c r="D31" s="40">
        <v>180</v>
      </c>
      <c r="E31" s="42">
        <f>U31*$U$9*1.12</f>
        <v>1854720</v>
      </c>
      <c r="F31" s="42">
        <f t="shared" si="0"/>
        <v>0</v>
      </c>
      <c r="G31" s="43">
        <v>10000</v>
      </c>
      <c r="H31" s="43">
        <v>2000</v>
      </c>
      <c r="I31" s="44">
        <f t="shared" si="1"/>
        <v>185.47200000000001</v>
      </c>
      <c r="J31" s="44">
        <f t="shared" si="2"/>
        <v>55.641599999999997</v>
      </c>
      <c r="K31" s="44">
        <f t="shared" si="3"/>
        <v>241.11360000000002</v>
      </c>
      <c r="L31" s="44">
        <f t="shared" si="4"/>
        <v>92.736000000000004</v>
      </c>
      <c r="M31" s="45" t="s">
        <v>65</v>
      </c>
      <c r="N31" s="52" t="e">
        <f t="shared" si="5"/>
        <v>#REF!</v>
      </c>
      <c r="O31" s="47">
        <f t="shared" si="6"/>
        <v>0.14000000000000001</v>
      </c>
      <c r="P31" s="44" t="e">
        <f t="shared" si="7"/>
        <v>#REF!</v>
      </c>
      <c r="Q31" s="44" t="e">
        <f t="shared" si="10"/>
        <v>#REF!</v>
      </c>
      <c r="R31" s="44" t="e">
        <f t="shared" si="8"/>
        <v>#REF!</v>
      </c>
      <c r="S31" s="48" t="e">
        <f t="shared" si="9"/>
        <v>#REF!</v>
      </c>
      <c r="T31" s="50">
        <v>180000</v>
      </c>
      <c r="U31" s="50">
        <f t="shared" si="11"/>
        <v>206999.99999999997</v>
      </c>
      <c r="V31" s="51"/>
      <c r="W31" s="12" t="s">
        <v>95</v>
      </c>
    </row>
    <row r="32" spans="2:23" ht="13.5" x14ac:dyDescent="0.25">
      <c r="B32" s="40">
        <v>21</v>
      </c>
      <c r="C32" s="41" t="s">
        <v>96</v>
      </c>
      <c r="D32" s="40"/>
      <c r="E32" s="42">
        <f>U32*$U$9*1.2</f>
        <v>176640</v>
      </c>
      <c r="F32" s="42">
        <f t="shared" si="0"/>
        <v>0</v>
      </c>
      <c r="G32" s="43">
        <v>10000</v>
      </c>
      <c r="H32" s="43">
        <v>2000</v>
      </c>
      <c r="I32" s="44">
        <f t="shared" si="1"/>
        <v>17.664000000000001</v>
      </c>
      <c r="J32" s="44">
        <f t="shared" si="2"/>
        <v>5.2991999999999999</v>
      </c>
      <c r="K32" s="44">
        <f t="shared" si="3"/>
        <v>22.963200000000001</v>
      </c>
      <c r="L32" s="44">
        <f t="shared" si="4"/>
        <v>8.8320000000000007</v>
      </c>
      <c r="M32" s="45"/>
      <c r="N32" s="52">
        <f t="shared" si="5"/>
        <v>0</v>
      </c>
      <c r="O32" s="47">
        <f t="shared" si="6"/>
        <v>0.14000000000000001</v>
      </c>
      <c r="P32" s="44">
        <f t="shared" si="7"/>
        <v>0</v>
      </c>
      <c r="Q32" s="44">
        <f t="shared" si="10"/>
        <v>0</v>
      </c>
      <c r="R32" s="44">
        <f t="shared" si="8"/>
        <v>0</v>
      </c>
      <c r="S32" s="48">
        <f t="shared" si="9"/>
        <v>31.795200000000001</v>
      </c>
      <c r="T32" s="50">
        <v>16000</v>
      </c>
      <c r="U32" s="50">
        <f t="shared" si="11"/>
        <v>18400</v>
      </c>
      <c r="V32" s="51"/>
    </row>
    <row r="33" spans="2:23" ht="13.5" x14ac:dyDescent="0.25">
      <c r="B33" s="40">
        <v>22</v>
      </c>
      <c r="C33" s="41" t="s">
        <v>97</v>
      </c>
      <c r="D33" s="40">
        <v>10</v>
      </c>
      <c r="E33" s="42">
        <f>U33*$U$9</f>
        <v>25759.999999999996</v>
      </c>
      <c r="F33" s="42">
        <f t="shared" si="0"/>
        <v>0</v>
      </c>
      <c r="G33" s="43">
        <v>10000</v>
      </c>
      <c r="H33" s="43">
        <v>2000</v>
      </c>
      <c r="I33" s="44">
        <f t="shared" si="1"/>
        <v>2.5759999999999996</v>
      </c>
      <c r="J33" s="44">
        <f t="shared" si="2"/>
        <v>0.77279999999999982</v>
      </c>
      <c r="K33" s="44">
        <f t="shared" si="3"/>
        <v>3.3487999999999993</v>
      </c>
      <c r="L33" s="44">
        <f t="shared" si="4"/>
        <v>1.2879999999999998</v>
      </c>
      <c r="M33" s="45" t="s">
        <v>15</v>
      </c>
      <c r="N33" s="52" t="e">
        <f t="shared" si="5"/>
        <v>#REF!</v>
      </c>
      <c r="O33" s="47">
        <f t="shared" si="6"/>
        <v>0.14000000000000001</v>
      </c>
      <c r="P33" s="44" t="e">
        <f t="shared" si="7"/>
        <v>#REF!</v>
      </c>
      <c r="Q33" s="44" t="e">
        <f t="shared" si="10"/>
        <v>#REF!</v>
      </c>
      <c r="R33" s="44" t="e">
        <f t="shared" si="8"/>
        <v>#REF!</v>
      </c>
      <c r="S33" s="48" t="e">
        <f t="shared" si="9"/>
        <v>#REF!</v>
      </c>
      <c r="T33" s="50">
        <v>2800</v>
      </c>
      <c r="U33" s="50">
        <f t="shared" si="11"/>
        <v>3219.9999999999995</v>
      </c>
      <c r="V33" s="51"/>
    </row>
    <row r="34" spans="2:23" ht="13.5" x14ac:dyDescent="0.25">
      <c r="B34" s="40">
        <v>23</v>
      </c>
      <c r="C34" s="41" t="s">
        <v>98</v>
      </c>
      <c r="D34" s="40">
        <v>63</v>
      </c>
      <c r="E34" s="42">
        <f t="shared" ref="E34:E41" si="12">U34*$U$9*1.2</f>
        <v>154559.99999999997</v>
      </c>
      <c r="F34" s="42">
        <f t="shared" si="0"/>
        <v>0</v>
      </c>
      <c r="G34" s="43">
        <v>10000</v>
      </c>
      <c r="H34" s="43">
        <v>2000</v>
      </c>
      <c r="I34" s="44">
        <f t="shared" si="1"/>
        <v>15.455999999999998</v>
      </c>
      <c r="J34" s="44">
        <f t="shared" si="2"/>
        <v>4.6367999999999991</v>
      </c>
      <c r="K34" s="44">
        <f t="shared" si="3"/>
        <v>20.092799999999997</v>
      </c>
      <c r="L34" s="44">
        <f t="shared" si="4"/>
        <v>7.7279999999999989</v>
      </c>
      <c r="M34" s="45" t="s">
        <v>65</v>
      </c>
      <c r="N34" s="52" t="e">
        <f t="shared" si="5"/>
        <v>#REF!</v>
      </c>
      <c r="O34" s="47">
        <f t="shared" si="6"/>
        <v>0.14000000000000001</v>
      </c>
      <c r="P34" s="44" t="e">
        <f t="shared" si="7"/>
        <v>#REF!</v>
      </c>
      <c r="Q34" s="44" t="e">
        <f t="shared" si="10"/>
        <v>#REF!</v>
      </c>
      <c r="R34" s="44" t="e">
        <f t="shared" si="8"/>
        <v>#REF!</v>
      </c>
      <c r="S34" s="48" t="e">
        <f t="shared" si="9"/>
        <v>#REF!</v>
      </c>
      <c r="T34" s="50">
        <v>14000</v>
      </c>
      <c r="U34" s="50">
        <f t="shared" si="11"/>
        <v>16099.999999999998</v>
      </c>
      <c r="V34" s="51"/>
    </row>
    <row r="35" spans="2:23" ht="13.5" x14ac:dyDescent="0.25">
      <c r="B35" s="40">
        <v>24</v>
      </c>
      <c r="C35" s="41" t="s">
        <v>99</v>
      </c>
      <c r="D35" s="40"/>
      <c r="E35" s="42">
        <f t="shared" si="12"/>
        <v>19872</v>
      </c>
      <c r="F35" s="42">
        <f t="shared" si="0"/>
        <v>0</v>
      </c>
      <c r="G35" s="43">
        <v>10000</v>
      </c>
      <c r="H35" s="43">
        <v>2000</v>
      </c>
      <c r="I35" s="44">
        <f t="shared" si="1"/>
        <v>1.9872000000000001</v>
      </c>
      <c r="J35" s="44">
        <f t="shared" si="2"/>
        <v>0.59616000000000002</v>
      </c>
      <c r="K35" s="44">
        <f t="shared" si="3"/>
        <v>2.5833599999999999</v>
      </c>
      <c r="L35" s="44">
        <f t="shared" si="4"/>
        <v>0.99360000000000004</v>
      </c>
      <c r="M35" s="45"/>
      <c r="N35" s="52">
        <f t="shared" si="5"/>
        <v>0</v>
      </c>
      <c r="O35" s="47">
        <f t="shared" si="6"/>
        <v>0.14000000000000001</v>
      </c>
      <c r="P35" s="44">
        <f t="shared" si="7"/>
        <v>0</v>
      </c>
      <c r="Q35" s="44">
        <f t="shared" si="10"/>
        <v>0</v>
      </c>
      <c r="R35" s="44">
        <f t="shared" si="8"/>
        <v>0</v>
      </c>
      <c r="S35" s="48">
        <f t="shared" si="9"/>
        <v>3.5769599999999997</v>
      </c>
      <c r="T35" s="50">
        <v>1800</v>
      </c>
      <c r="U35" s="50">
        <f t="shared" si="11"/>
        <v>2070</v>
      </c>
      <c r="V35" s="51"/>
    </row>
    <row r="36" spans="2:23" ht="13.5" x14ac:dyDescent="0.25">
      <c r="B36" s="40">
        <v>25</v>
      </c>
      <c r="C36" s="41" t="s">
        <v>100</v>
      </c>
      <c r="D36" s="40">
        <v>335</v>
      </c>
      <c r="E36" s="42">
        <f t="shared" si="12"/>
        <v>4195199.9999999991</v>
      </c>
      <c r="F36" s="42">
        <f t="shared" si="0"/>
        <v>0</v>
      </c>
      <c r="G36" s="43">
        <v>10000</v>
      </c>
      <c r="H36" s="43">
        <v>2000</v>
      </c>
      <c r="I36" s="44">
        <f t="shared" si="1"/>
        <v>419.51999999999992</v>
      </c>
      <c r="J36" s="44">
        <f t="shared" si="2"/>
        <v>125.85599999999997</v>
      </c>
      <c r="K36" s="44">
        <f t="shared" si="3"/>
        <v>545.37599999999986</v>
      </c>
      <c r="L36" s="44">
        <f t="shared" si="4"/>
        <v>209.75999999999996</v>
      </c>
      <c r="M36" s="45" t="s">
        <v>65</v>
      </c>
      <c r="N36" s="52" t="e">
        <f t="shared" si="5"/>
        <v>#REF!</v>
      </c>
      <c r="O36" s="47">
        <f t="shared" si="6"/>
        <v>0.14000000000000001</v>
      </c>
      <c r="P36" s="44" t="e">
        <f t="shared" si="7"/>
        <v>#REF!</v>
      </c>
      <c r="Q36" s="44" t="e">
        <f t="shared" si="10"/>
        <v>#REF!</v>
      </c>
      <c r="R36" s="44" t="e">
        <f t="shared" si="8"/>
        <v>#REF!</v>
      </c>
      <c r="S36" s="48" t="e">
        <f t="shared" si="9"/>
        <v>#REF!</v>
      </c>
      <c r="T36" s="50">
        <v>380000</v>
      </c>
      <c r="U36" s="50">
        <f t="shared" si="11"/>
        <v>436999.99999999994</v>
      </c>
      <c r="V36" s="51"/>
      <c r="W36" t="s">
        <v>101</v>
      </c>
    </row>
    <row r="37" spans="2:23" ht="13.5" x14ac:dyDescent="0.25">
      <c r="B37" s="40">
        <v>26</v>
      </c>
      <c r="C37" s="41" t="s">
        <v>102</v>
      </c>
      <c r="D37" s="40">
        <v>198</v>
      </c>
      <c r="E37" s="42">
        <f t="shared" si="12"/>
        <v>2760000</v>
      </c>
      <c r="F37" s="42">
        <f t="shared" si="0"/>
        <v>0</v>
      </c>
      <c r="G37" s="43">
        <v>10000</v>
      </c>
      <c r="H37" s="43">
        <v>2000</v>
      </c>
      <c r="I37" s="44">
        <f t="shared" si="1"/>
        <v>276</v>
      </c>
      <c r="J37" s="44">
        <f t="shared" si="2"/>
        <v>82.8</v>
      </c>
      <c r="K37" s="44">
        <f t="shared" si="3"/>
        <v>358.8</v>
      </c>
      <c r="L37" s="44">
        <f t="shared" si="4"/>
        <v>138</v>
      </c>
      <c r="M37" s="45" t="s">
        <v>65</v>
      </c>
      <c r="N37" s="52" t="e">
        <f t="shared" si="5"/>
        <v>#REF!</v>
      </c>
      <c r="O37" s="47">
        <f t="shared" si="6"/>
        <v>0.14000000000000001</v>
      </c>
      <c r="P37" s="44" t="e">
        <f t="shared" si="7"/>
        <v>#REF!</v>
      </c>
      <c r="Q37" s="44" t="e">
        <f t="shared" si="10"/>
        <v>#REF!</v>
      </c>
      <c r="R37" s="44" t="e">
        <f t="shared" si="8"/>
        <v>#REF!</v>
      </c>
      <c r="S37" s="48" t="e">
        <f t="shared" si="9"/>
        <v>#REF!</v>
      </c>
      <c r="T37" s="50">
        <v>250000</v>
      </c>
      <c r="U37" s="50">
        <f t="shared" si="11"/>
        <v>287500</v>
      </c>
      <c r="V37" s="51"/>
      <c r="W37" t="s">
        <v>103</v>
      </c>
    </row>
    <row r="38" spans="2:23" ht="13.5" x14ac:dyDescent="0.25">
      <c r="B38" s="40">
        <v>27</v>
      </c>
      <c r="C38" s="41" t="s">
        <v>104</v>
      </c>
      <c r="D38" s="40">
        <v>400</v>
      </c>
      <c r="E38" s="42">
        <f t="shared" si="12"/>
        <v>5188800</v>
      </c>
      <c r="F38" s="42">
        <f t="shared" si="0"/>
        <v>0</v>
      </c>
      <c r="G38" s="43">
        <v>10000</v>
      </c>
      <c r="H38" s="43">
        <v>2000</v>
      </c>
      <c r="I38" s="44">
        <f t="shared" si="1"/>
        <v>518.88</v>
      </c>
      <c r="J38" s="44">
        <f t="shared" si="2"/>
        <v>155.66399999999999</v>
      </c>
      <c r="K38" s="44">
        <f t="shared" si="3"/>
        <v>674.54399999999998</v>
      </c>
      <c r="L38" s="44">
        <f t="shared" si="4"/>
        <v>259.44</v>
      </c>
      <c r="M38" s="45" t="s">
        <v>65</v>
      </c>
      <c r="N38" s="52" t="e">
        <f t="shared" si="5"/>
        <v>#REF!</v>
      </c>
      <c r="O38" s="47">
        <f t="shared" si="6"/>
        <v>0.14000000000000001</v>
      </c>
      <c r="P38" s="44" t="e">
        <f t="shared" si="7"/>
        <v>#REF!</v>
      </c>
      <c r="Q38" s="44" t="e">
        <f t="shared" si="10"/>
        <v>#REF!</v>
      </c>
      <c r="R38" s="44" t="e">
        <f t="shared" si="8"/>
        <v>#REF!</v>
      </c>
      <c r="S38" s="48" t="e">
        <f t="shared" si="9"/>
        <v>#REF!</v>
      </c>
      <c r="T38" s="50">
        <v>470000</v>
      </c>
      <c r="U38" s="50">
        <f t="shared" si="11"/>
        <v>540500</v>
      </c>
      <c r="V38" s="51"/>
      <c r="W38" t="s">
        <v>105</v>
      </c>
    </row>
    <row r="39" spans="2:23" ht="13.5" x14ac:dyDescent="0.25">
      <c r="B39" s="40">
        <v>28</v>
      </c>
      <c r="C39" s="41" t="s">
        <v>106</v>
      </c>
      <c r="D39" s="40">
        <v>185</v>
      </c>
      <c r="E39" s="42">
        <f t="shared" si="12"/>
        <v>3168480</v>
      </c>
      <c r="F39" s="42">
        <f t="shared" si="0"/>
        <v>0</v>
      </c>
      <c r="G39" s="43">
        <v>10000</v>
      </c>
      <c r="H39" s="43">
        <v>2000</v>
      </c>
      <c r="I39" s="44">
        <f t="shared" si="1"/>
        <v>316.84800000000001</v>
      </c>
      <c r="J39" s="44">
        <f t="shared" si="2"/>
        <v>95.054400000000001</v>
      </c>
      <c r="K39" s="44">
        <f t="shared" si="3"/>
        <v>411.9024</v>
      </c>
      <c r="L39" s="44">
        <f t="shared" si="4"/>
        <v>158.42400000000001</v>
      </c>
      <c r="M39" s="45" t="s">
        <v>65</v>
      </c>
      <c r="N39" s="52" t="e">
        <f t="shared" si="5"/>
        <v>#REF!</v>
      </c>
      <c r="O39" s="47">
        <f t="shared" si="6"/>
        <v>0.14000000000000001</v>
      </c>
      <c r="P39" s="44" t="e">
        <f t="shared" si="7"/>
        <v>#REF!</v>
      </c>
      <c r="Q39" s="44" t="e">
        <f t="shared" si="10"/>
        <v>#REF!</v>
      </c>
      <c r="R39" s="44" t="e">
        <f t="shared" si="8"/>
        <v>#REF!</v>
      </c>
      <c r="S39" s="48" t="e">
        <f t="shared" si="9"/>
        <v>#REF!</v>
      </c>
      <c r="T39" s="50">
        <v>287000</v>
      </c>
      <c r="U39" s="50">
        <f t="shared" si="11"/>
        <v>330050</v>
      </c>
      <c r="V39" s="51"/>
      <c r="W39" t="s">
        <v>107</v>
      </c>
    </row>
    <row r="40" spans="2:23" ht="13.5" x14ac:dyDescent="0.25">
      <c r="B40" s="40">
        <v>29</v>
      </c>
      <c r="C40" s="41" t="s">
        <v>108</v>
      </c>
      <c r="D40" s="40">
        <v>60</v>
      </c>
      <c r="E40" s="42">
        <f t="shared" si="12"/>
        <v>104880</v>
      </c>
      <c r="F40" s="42">
        <f t="shared" si="0"/>
        <v>0</v>
      </c>
      <c r="G40" s="43">
        <v>10000</v>
      </c>
      <c r="H40" s="43">
        <v>2000</v>
      </c>
      <c r="I40" s="44">
        <f t="shared" si="1"/>
        <v>10.488</v>
      </c>
      <c r="J40" s="44">
        <f t="shared" si="2"/>
        <v>3.1464000000000003</v>
      </c>
      <c r="K40" s="44">
        <f t="shared" si="3"/>
        <v>13.634399999999999</v>
      </c>
      <c r="L40" s="44">
        <f t="shared" si="4"/>
        <v>5.2439999999999998</v>
      </c>
      <c r="M40" s="45" t="s">
        <v>65</v>
      </c>
      <c r="N40" s="52" t="e">
        <f t="shared" si="5"/>
        <v>#REF!</v>
      </c>
      <c r="O40" s="47">
        <f t="shared" si="6"/>
        <v>0.14000000000000001</v>
      </c>
      <c r="P40" s="44" t="e">
        <f t="shared" si="7"/>
        <v>#REF!</v>
      </c>
      <c r="Q40" s="44" t="e">
        <f t="shared" si="10"/>
        <v>#REF!</v>
      </c>
      <c r="R40" s="44" t="e">
        <f t="shared" si="8"/>
        <v>#REF!</v>
      </c>
      <c r="S40" s="48" t="e">
        <f t="shared" si="9"/>
        <v>#REF!</v>
      </c>
      <c r="T40" s="50">
        <v>9500</v>
      </c>
      <c r="U40" s="50">
        <f t="shared" si="11"/>
        <v>10925</v>
      </c>
      <c r="V40" s="51"/>
    </row>
    <row r="41" spans="2:23" ht="13.5" x14ac:dyDescent="0.25">
      <c r="B41" s="40">
        <v>30</v>
      </c>
      <c r="C41" s="41" t="s">
        <v>109</v>
      </c>
      <c r="D41" s="40">
        <v>400</v>
      </c>
      <c r="E41" s="42">
        <f t="shared" si="12"/>
        <v>441600</v>
      </c>
      <c r="F41" s="42">
        <f t="shared" si="0"/>
        <v>0</v>
      </c>
      <c r="G41" s="43">
        <v>10000</v>
      </c>
      <c r="H41" s="43">
        <v>2000</v>
      </c>
      <c r="I41" s="44">
        <f t="shared" si="1"/>
        <v>44.16</v>
      </c>
      <c r="J41" s="44">
        <f t="shared" si="2"/>
        <v>13.247999999999999</v>
      </c>
      <c r="K41" s="44">
        <f t="shared" si="3"/>
        <v>57.407999999999994</v>
      </c>
      <c r="L41" s="44">
        <f t="shared" si="4"/>
        <v>22.08</v>
      </c>
      <c r="M41" s="45" t="s">
        <v>65</v>
      </c>
      <c r="N41" s="52" t="e">
        <f t="shared" si="5"/>
        <v>#REF!</v>
      </c>
      <c r="O41" s="47">
        <f t="shared" si="6"/>
        <v>0.14000000000000001</v>
      </c>
      <c r="P41" s="44" t="e">
        <f t="shared" si="7"/>
        <v>#REF!</v>
      </c>
      <c r="Q41" s="44" t="e">
        <f t="shared" si="10"/>
        <v>#REF!</v>
      </c>
      <c r="R41" s="44" t="e">
        <f t="shared" si="8"/>
        <v>#REF!</v>
      </c>
      <c r="S41" s="48" t="e">
        <f t="shared" si="9"/>
        <v>#REF!</v>
      </c>
      <c r="T41" s="50">
        <v>40000</v>
      </c>
      <c r="U41" s="50">
        <f t="shared" si="11"/>
        <v>46000</v>
      </c>
      <c r="V41" s="51"/>
      <c r="W41" t="s">
        <v>110</v>
      </c>
    </row>
    <row r="42" spans="2:23" ht="13.5" x14ac:dyDescent="0.25">
      <c r="B42" s="40">
        <v>31</v>
      </c>
      <c r="C42" s="41" t="s">
        <v>111</v>
      </c>
      <c r="D42" s="40"/>
      <c r="E42" s="42">
        <v>5400</v>
      </c>
      <c r="F42" s="42">
        <f t="shared" si="0"/>
        <v>0</v>
      </c>
      <c r="G42" s="43">
        <v>10000</v>
      </c>
      <c r="H42" s="43">
        <v>2000</v>
      </c>
      <c r="I42" s="44">
        <f t="shared" si="1"/>
        <v>0.54</v>
      </c>
      <c r="J42" s="44">
        <f t="shared" si="2"/>
        <v>0.16200000000000001</v>
      </c>
      <c r="K42" s="44">
        <f t="shared" si="3"/>
        <v>0.70200000000000007</v>
      </c>
      <c r="L42" s="44">
        <f t="shared" si="4"/>
        <v>0.27</v>
      </c>
      <c r="M42" s="45"/>
      <c r="N42" s="52">
        <f t="shared" si="5"/>
        <v>0</v>
      </c>
      <c r="O42" s="47">
        <f t="shared" si="6"/>
        <v>0.14000000000000001</v>
      </c>
      <c r="P42" s="44">
        <f t="shared" si="7"/>
        <v>0</v>
      </c>
      <c r="Q42" s="44">
        <f t="shared" si="10"/>
        <v>0</v>
      </c>
      <c r="R42" s="44">
        <f t="shared" si="8"/>
        <v>0</v>
      </c>
      <c r="S42" s="48">
        <f t="shared" si="9"/>
        <v>0.97200000000000009</v>
      </c>
      <c r="T42" s="50">
        <v>15500</v>
      </c>
      <c r="U42" s="50">
        <f t="shared" si="11"/>
        <v>17825</v>
      </c>
      <c r="V42" s="51"/>
    </row>
    <row r="43" spans="2:23" ht="13.5" x14ac:dyDescent="0.25">
      <c r="B43" s="40">
        <v>32</v>
      </c>
      <c r="C43" s="41" t="s">
        <v>112</v>
      </c>
      <c r="D43" s="40">
        <v>3</v>
      </c>
      <c r="E43" s="42">
        <f>U43*$U$9*1.2</f>
        <v>7175.9999999999991</v>
      </c>
      <c r="F43" s="42">
        <f t="shared" si="0"/>
        <v>0</v>
      </c>
      <c r="G43" s="43">
        <v>10000</v>
      </c>
      <c r="H43" s="43">
        <v>2000</v>
      </c>
      <c r="I43" s="44">
        <f t="shared" si="1"/>
        <v>0.7175999999999999</v>
      </c>
      <c r="J43" s="44">
        <f t="shared" si="2"/>
        <v>0.21527999999999997</v>
      </c>
      <c r="K43" s="44">
        <f t="shared" si="3"/>
        <v>0.93287999999999993</v>
      </c>
      <c r="L43" s="44">
        <f t="shared" si="4"/>
        <v>0.35879999999999995</v>
      </c>
      <c r="M43" s="45" t="s">
        <v>15</v>
      </c>
      <c r="N43" s="52" t="e">
        <f t="shared" si="5"/>
        <v>#REF!</v>
      </c>
      <c r="O43" s="47">
        <f t="shared" si="6"/>
        <v>0.14000000000000001</v>
      </c>
      <c r="P43" s="44" t="e">
        <f t="shared" si="7"/>
        <v>#REF!</v>
      </c>
      <c r="Q43" s="44" t="e">
        <f t="shared" si="10"/>
        <v>#REF!</v>
      </c>
      <c r="R43" s="44" t="e">
        <f t="shared" si="8"/>
        <v>#REF!</v>
      </c>
      <c r="S43" s="48" t="e">
        <f t="shared" si="9"/>
        <v>#REF!</v>
      </c>
      <c r="T43" s="50">
        <v>650</v>
      </c>
      <c r="U43" s="50">
        <f t="shared" si="11"/>
        <v>747.49999999999989</v>
      </c>
      <c r="V43" s="51"/>
    </row>
    <row r="44" spans="2:23" ht="13.5" x14ac:dyDescent="0.25">
      <c r="B44" s="40">
        <v>33</v>
      </c>
      <c r="C44" s="41" t="s">
        <v>113</v>
      </c>
      <c r="D44" s="40"/>
      <c r="E44" s="42">
        <f>U44*$U$9*1.2</f>
        <v>55200</v>
      </c>
      <c r="F44" s="42">
        <f t="shared" si="0"/>
        <v>0</v>
      </c>
      <c r="G44" s="43">
        <v>10000</v>
      </c>
      <c r="H44" s="43">
        <v>2000</v>
      </c>
      <c r="I44" s="44">
        <f t="shared" si="1"/>
        <v>5.52</v>
      </c>
      <c r="J44" s="44">
        <f t="shared" si="2"/>
        <v>1.6559999999999999</v>
      </c>
      <c r="K44" s="44">
        <f t="shared" si="3"/>
        <v>7.1759999999999993</v>
      </c>
      <c r="L44" s="44">
        <f t="shared" si="4"/>
        <v>2.76</v>
      </c>
      <c r="M44" s="45" t="s">
        <v>65</v>
      </c>
      <c r="N44" s="52" t="e">
        <f t="shared" si="5"/>
        <v>#REF!</v>
      </c>
      <c r="O44" s="47">
        <f t="shared" si="6"/>
        <v>0.14000000000000001</v>
      </c>
      <c r="P44" s="44" t="e">
        <f t="shared" si="7"/>
        <v>#REF!</v>
      </c>
      <c r="Q44" s="44" t="e">
        <f t="shared" si="10"/>
        <v>#REF!</v>
      </c>
      <c r="R44" s="44" t="e">
        <f t="shared" si="8"/>
        <v>#REF!</v>
      </c>
      <c r="S44" s="48" t="e">
        <f t="shared" si="9"/>
        <v>#REF!</v>
      </c>
      <c r="T44" s="50">
        <v>5000</v>
      </c>
      <c r="U44" s="50">
        <f t="shared" si="11"/>
        <v>5750</v>
      </c>
      <c r="V44" s="51"/>
    </row>
    <row r="45" spans="2:23" ht="13.5" x14ac:dyDescent="0.25">
      <c r="B45" s="40">
        <v>34</v>
      </c>
      <c r="C45" s="41" t="s">
        <v>114</v>
      </c>
      <c r="D45" s="40">
        <v>6</v>
      </c>
      <c r="E45" s="42">
        <f>+'IN-12-11'!D133</f>
        <v>5245.55</v>
      </c>
      <c r="F45" s="42">
        <f t="shared" si="0"/>
        <v>0</v>
      </c>
      <c r="G45" s="43">
        <v>10000</v>
      </c>
      <c r="H45" s="43">
        <v>2000</v>
      </c>
      <c r="I45" s="44">
        <f t="shared" si="1"/>
        <v>0.52455499999999999</v>
      </c>
      <c r="J45" s="44">
        <f t="shared" si="2"/>
        <v>0.15736649999999999</v>
      </c>
      <c r="K45" s="44">
        <f t="shared" si="3"/>
        <v>0.68192149999999996</v>
      </c>
      <c r="L45" s="44">
        <f t="shared" si="4"/>
        <v>0.2622775</v>
      </c>
      <c r="M45" s="45" t="s">
        <v>15</v>
      </c>
      <c r="N45" s="52" t="e">
        <f t="shared" si="5"/>
        <v>#REF!</v>
      </c>
      <c r="O45" s="47">
        <f t="shared" si="6"/>
        <v>0.14000000000000001</v>
      </c>
      <c r="P45" s="44" t="e">
        <f t="shared" si="7"/>
        <v>#REF!</v>
      </c>
      <c r="Q45" s="44" t="e">
        <f t="shared" si="10"/>
        <v>#REF!</v>
      </c>
      <c r="R45" s="44" t="e">
        <f t="shared" si="8"/>
        <v>#REF!</v>
      </c>
      <c r="S45" s="48" t="e">
        <f t="shared" si="9"/>
        <v>#REF!</v>
      </c>
      <c r="T45" s="50">
        <v>550</v>
      </c>
      <c r="U45" s="50">
        <f t="shared" si="11"/>
        <v>632.5</v>
      </c>
      <c r="V45" s="51"/>
    </row>
    <row r="46" spans="2:23" ht="13.5" x14ac:dyDescent="0.25">
      <c r="B46" s="40">
        <v>35</v>
      </c>
      <c r="C46" s="41" t="s">
        <v>115</v>
      </c>
      <c r="D46" s="40">
        <v>60</v>
      </c>
      <c r="E46" s="42">
        <f>U46*$U$9*1.4</f>
        <v>386400</v>
      </c>
      <c r="F46" s="42">
        <f t="shared" si="0"/>
        <v>0</v>
      </c>
      <c r="G46" s="43">
        <v>10000</v>
      </c>
      <c r="H46" s="43">
        <v>2000</v>
      </c>
      <c r="I46" s="44">
        <f t="shared" si="1"/>
        <v>38.64</v>
      </c>
      <c r="J46" s="44">
        <f t="shared" si="2"/>
        <v>11.592000000000001</v>
      </c>
      <c r="K46" s="44">
        <f t="shared" si="3"/>
        <v>50.231999999999999</v>
      </c>
      <c r="L46" s="44">
        <f t="shared" si="4"/>
        <v>19.32</v>
      </c>
      <c r="M46" s="45" t="s">
        <v>65</v>
      </c>
      <c r="N46" s="52" t="e">
        <f t="shared" si="5"/>
        <v>#REF!</v>
      </c>
      <c r="O46" s="47">
        <f t="shared" si="6"/>
        <v>0.14000000000000001</v>
      </c>
      <c r="P46" s="44" t="e">
        <f t="shared" si="7"/>
        <v>#REF!</v>
      </c>
      <c r="Q46" s="44" t="e">
        <f t="shared" si="10"/>
        <v>#REF!</v>
      </c>
      <c r="R46" s="44" t="e">
        <f t="shared" si="8"/>
        <v>#REF!</v>
      </c>
      <c r="S46" s="48" t="e">
        <f t="shared" si="9"/>
        <v>#REF!</v>
      </c>
      <c r="T46" s="50">
        <v>30000</v>
      </c>
      <c r="U46" s="50">
        <f t="shared" si="11"/>
        <v>34500</v>
      </c>
      <c r="V46" s="51"/>
    </row>
    <row r="47" spans="2:23" ht="13.5" x14ac:dyDescent="0.25">
      <c r="B47" s="40">
        <v>36</v>
      </c>
      <c r="C47" s="41" t="s">
        <v>116</v>
      </c>
      <c r="D47" s="40">
        <v>170</v>
      </c>
      <c r="E47" s="42">
        <f>+'IN-12-11'!D115</f>
        <v>1416550.7622</v>
      </c>
      <c r="F47" s="42">
        <f t="shared" si="0"/>
        <v>0</v>
      </c>
      <c r="G47" s="43">
        <v>10000</v>
      </c>
      <c r="H47" s="43">
        <v>2000</v>
      </c>
      <c r="I47" s="44">
        <f t="shared" si="1"/>
        <v>141.65507622000001</v>
      </c>
      <c r="J47" s="44">
        <f t="shared" si="2"/>
        <v>42.496522865999999</v>
      </c>
      <c r="K47" s="44">
        <f t="shared" si="3"/>
        <v>184.151599086</v>
      </c>
      <c r="L47" s="44">
        <f t="shared" si="4"/>
        <v>70.827538110000006</v>
      </c>
      <c r="M47" s="45" t="s">
        <v>65</v>
      </c>
      <c r="N47" s="52" t="e">
        <f t="shared" si="5"/>
        <v>#REF!</v>
      </c>
      <c r="O47" s="47">
        <f t="shared" si="6"/>
        <v>0.14000000000000001</v>
      </c>
      <c r="P47" s="44" t="e">
        <f t="shared" si="7"/>
        <v>#REF!</v>
      </c>
      <c r="Q47" s="44" t="e">
        <f t="shared" si="10"/>
        <v>#REF!</v>
      </c>
      <c r="R47" s="44" t="e">
        <f t="shared" si="8"/>
        <v>#REF!</v>
      </c>
      <c r="S47" s="48" t="e">
        <f t="shared" si="9"/>
        <v>#REF!</v>
      </c>
      <c r="T47" s="50">
        <v>190000</v>
      </c>
      <c r="U47" s="50">
        <f t="shared" si="11"/>
        <v>218499.99999999997</v>
      </c>
      <c r="V47" s="51"/>
      <c r="W47" t="s">
        <v>117</v>
      </c>
    </row>
    <row r="48" spans="2:23" ht="13.5" x14ac:dyDescent="0.25">
      <c r="B48" s="40">
        <v>37</v>
      </c>
      <c r="C48" s="41" t="s">
        <v>118</v>
      </c>
      <c r="D48" s="40">
        <v>3</v>
      </c>
      <c r="E48" s="42">
        <f>U48*$U$9*1.3</f>
        <v>5980</v>
      </c>
      <c r="F48" s="42">
        <f t="shared" si="0"/>
        <v>0</v>
      </c>
      <c r="G48" s="43">
        <v>10000</v>
      </c>
      <c r="H48" s="43">
        <v>2000</v>
      </c>
      <c r="I48" s="44">
        <f t="shared" si="1"/>
        <v>0.59799999999999998</v>
      </c>
      <c r="J48" s="44">
        <f t="shared" si="2"/>
        <v>0.1794</v>
      </c>
      <c r="K48" s="44">
        <f t="shared" si="3"/>
        <v>0.77739999999999998</v>
      </c>
      <c r="L48" s="44">
        <f t="shared" si="4"/>
        <v>0.29899999999999999</v>
      </c>
      <c r="M48" s="45" t="s">
        <v>15</v>
      </c>
      <c r="N48" s="52" t="e">
        <f t="shared" si="5"/>
        <v>#REF!</v>
      </c>
      <c r="O48" s="47">
        <f t="shared" si="6"/>
        <v>0.14000000000000001</v>
      </c>
      <c r="P48" s="44" t="e">
        <f t="shared" si="7"/>
        <v>#REF!</v>
      </c>
      <c r="Q48" s="44" t="e">
        <f t="shared" si="10"/>
        <v>#REF!</v>
      </c>
      <c r="R48" s="44" t="e">
        <f t="shared" si="8"/>
        <v>#REF!</v>
      </c>
      <c r="S48" s="48" t="e">
        <f t="shared" si="9"/>
        <v>#REF!</v>
      </c>
      <c r="T48" s="50">
        <v>500</v>
      </c>
      <c r="U48" s="50">
        <f t="shared" si="11"/>
        <v>575</v>
      </c>
      <c r="V48" s="51"/>
    </row>
    <row r="49" spans="2:23" ht="13.5" x14ac:dyDescent="0.25">
      <c r="B49" s="40">
        <v>38</v>
      </c>
      <c r="C49" s="41" t="s">
        <v>119</v>
      </c>
      <c r="D49" s="40">
        <v>150</v>
      </c>
      <c r="E49" s="42">
        <f>U49*$U$9*1.3</f>
        <v>3049800</v>
      </c>
      <c r="F49" s="42">
        <f t="shared" si="0"/>
        <v>0</v>
      </c>
      <c r="G49" s="43">
        <v>10000</v>
      </c>
      <c r="H49" s="43">
        <v>2000</v>
      </c>
      <c r="I49" s="44">
        <f t="shared" si="1"/>
        <v>304.98</v>
      </c>
      <c r="J49" s="44">
        <f t="shared" si="2"/>
        <v>91.494</v>
      </c>
      <c r="K49" s="44">
        <f t="shared" si="3"/>
        <v>396.47400000000005</v>
      </c>
      <c r="L49" s="44">
        <f t="shared" si="4"/>
        <v>152.49</v>
      </c>
      <c r="M49" s="45" t="s">
        <v>65</v>
      </c>
      <c r="N49" s="52" t="e">
        <f t="shared" si="5"/>
        <v>#REF!</v>
      </c>
      <c r="O49" s="47">
        <f t="shared" si="6"/>
        <v>0.14000000000000001</v>
      </c>
      <c r="P49" s="44" t="e">
        <f t="shared" si="7"/>
        <v>#REF!</v>
      </c>
      <c r="Q49" s="44" t="e">
        <f t="shared" si="10"/>
        <v>#REF!</v>
      </c>
      <c r="R49" s="44" t="e">
        <f t="shared" si="8"/>
        <v>#REF!</v>
      </c>
      <c r="S49" s="48" t="e">
        <f t="shared" si="9"/>
        <v>#REF!</v>
      </c>
      <c r="T49" s="50">
        <v>255000</v>
      </c>
      <c r="U49" s="50">
        <f t="shared" si="11"/>
        <v>293250</v>
      </c>
      <c r="V49" s="51"/>
      <c r="W49" t="s">
        <v>120</v>
      </c>
    </row>
    <row r="50" spans="2:23" ht="13.5" x14ac:dyDescent="0.25">
      <c r="B50" s="40">
        <v>39</v>
      </c>
      <c r="C50" s="41" t="s">
        <v>121</v>
      </c>
      <c r="D50" s="40"/>
      <c r="E50" s="42">
        <f>+'IN-12-11'!D127</f>
        <v>636625.88</v>
      </c>
      <c r="F50" s="42">
        <f t="shared" si="0"/>
        <v>0</v>
      </c>
      <c r="G50" s="43">
        <v>10000</v>
      </c>
      <c r="H50" s="43">
        <v>2000</v>
      </c>
      <c r="I50" s="44">
        <f t="shared" si="1"/>
        <v>63.662588</v>
      </c>
      <c r="J50" s="44">
        <f t="shared" si="2"/>
        <v>19.098776399999998</v>
      </c>
      <c r="K50" s="44">
        <f t="shared" si="3"/>
        <v>82.761364399999991</v>
      </c>
      <c r="L50" s="44">
        <f t="shared" si="4"/>
        <v>31.831294</v>
      </c>
      <c r="M50" s="45"/>
      <c r="N50" s="52">
        <f t="shared" si="5"/>
        <v>0</v>
      </c>
      <c r="O50" s="47">
        <f t="shared" si="6"/>
        <v>0.14000000000000001</v>
      </c>
      <c r="P50" s="44">
        <f t="shared" si="7"/>
        <v>0</v>
      </c>
      <c r="Q50" s="44">
        <f t="shared" si="10"/>
        <v>0</v>
      </c>
      <c r="R50" s="44">
        <f t="shared" si="8"/>
        <v>0</v>
      </c>
      <c r="S50" s="48">
        <f t="shared" si="9"/>
        <v>114.59265839999999</v>
      </c>
      <c r="T50" s="50">
        <v>60000</v>
      </c>
      <c r="U50" s="50">
        <f t="shared" si="11"/>
        <v>69000</v>
      </c>
      <c r="V50" s="51"/>
      <c r="W50" t="s">
        <v>122</v>
      </c>
    </row>
    <row r="51" spans="2:23" ht="13.5" x14ac:dyDescent="0.25">
      <c r="B51" s="40">
        <v>40</v>
      </c>
      <c r="C51" s="41" t="s">
        <v>123</v>
      </c>
      <c r="D51" s="40"/>
      <c r="E51" s="42">
        <f>U51*$U$9*1.3</f>
        <v>598000</v>
      </c>
      <c r="F51" s="42">
        <f t="shared" si="0"/>
        <v>0</v>
      </c>
      <c r="G51" s="43">
        <v>10000</v>
      </c>
      <c r="H51" s="43">
        <v>2000</v>
      </c>
      <c r="I51" s="44">
        <f t="shared" si="1"/>
        <v>59.8</v>
      </c>
      <c r="J51" s="44">
        <f t="shared" si="2"/>
        <v>17.940000000000001</v>
      </c>
      <c r="K51" s="44">
        <f t="shared" si="3"/>
        <v>77.739999999999995</v>
      </c>
      <c r="L51" s="44">
        <f t="shared" si="4"/>
        <v>29.9</v>
      </c>
      <c r="M51" s="45"/>
      <c r="N51" s="52">
        <f t="shared" si="5"/>
        <v>0</v>
      </c>
      <c r="O51" s="47">
        <f t="shared" si="6"/>
        <v>0.14000000000000001</v>
      </c>
      <c r="P51" s="44">
        <f t="shared" si="7"/>
        <v>0</v>
      </c>
      <c r="Q51" s="44">
        <f t="shared" si="10"/>
        <v>0</v>
      </c>
      <c r="R51" s="44">
        <f t="shared" si="8"/>
        <v>0</v>
      </c>
      <c r="S51" s="48">
        <f t="shared" si="9"/>
        <v>107.63999999999999</v>
      </c>
      <c r="T51" s="50">
        <v>50000</v>
      </c>
      <c r="U51" s="50">
        <f t="shared" si="11"/>
        <v>57499.999999999993</v>
      </c>
      <c r="V51" s="51"/>
      <c r="W51" t="s">
        <v>124</v>
      </c>
    </row>
    <row r="52" spans="2:23" ht="13.5" x14ac:dyDescent="0.25">
      <c r="B52" s="40">
        <v>41</v>
      </c>
      <c r="C52" s="41" t="s">
        <v>125</v>
      </c>
      <c r="D52" s="40"/>
      <c r="E52" s="42">
        <f>+'IN-12-11'!D178</f>
        <v>3712078.9078000002</v>
      </c>
      <c r="F52" s="42">
        <f t="shared" si="0"/>
        <v>0</v>
      </c>
      <c r="G52" s="43">
        <v>10000</v>
      </c>
      <c r="H52" s="43">
        <v>2000</v>
      </c>
      <c r="I52" s="44">
        <f t="shared" si="1"/>
        <v>371.20789078000001</v>
      </c>
      <c r="J52" s="44">
        <f t="shared" si="2"/>
        <v>111.362367234</v>
      </c>
      <c r="K52" s="44">
        <f t="shared" si="3"/>
        <v>482.57025801400005</v>
      </c>
      <c r="L52" s="44">
        <f t="shared" si="4"/>
        <v>185.60394539000001</v>
      </c>
      <c r="M52" s="45"/>
      <c r="N52" s="52">
        <f t="shared" si="5"/>
        <v>0</v>
      </c>
      <c r="O52" s="47">
        <f t="shared" si="6"/>
        <v>0.14000000000000001</v>
      </c>
      <c r="P52" s="44">
        <f t="shared" si="7"/>
        <v>0</v>
      </c>
      <c r="Q52" s="44">
        <f t="shared" si="10"/>
        <v>0</v>
      </c>
      <c r="R52" s="44">
        <f t="shared" si="8"/>
        <v>0</v>
      </c>
      <c r="S52" s="48">
        <f t="shared" si="9"/>
        <v>668.17420340400008</v>
      </c>
      <c r="T52" s="50">
        <v>570000</v>
      </c>
      <c r="U52" s="50">
        <f t="shared" si="11"/>
        <v>655500</v>
      </c>
      <c r="V52" s="51"/>
      <c r="W52" t="s">
        <v>126</v>
      </c>
    </row>
    <row r="53" spans="2:23" ht="13.5" x14ac:dyDescent="0.25">
      <c r="B53" s="40">
        <v>42</v>
      </c>
      <c r="C53" s="41" t="s">
        <v>127</v>
      </c>
      <c r="D53" s="40"/>
      <c r="E53" s="42">
        <f>U53*$U$9*1.12</f>
        <v>8243200</v>
      </c>
      <c r="F53" s="42">
        <f t="shared" si="0"/>
        <v>0</v>
      </c>
      <c r="G53" s="43">
        <v>10000</v>
      </c>
      <c r="H53" s="43">
        <v>2000</v>
      </c>
      <c r="I53" s="44">
        <f t="shared" si="1"/>
        <v>824.32</v>
      </c>
      <c r="J53" s="44">
        <f t="shared" si="2"/>
        <v>247.29599999999999</v>
      </c>
      <c r="K53" s="44">
        <f t="shared" si="3"/>
        <v>1071.616</v>
      </c>
      <c r="L53" s="44">
        <f t="shared" si="4"/>
        <v>412.16</v>
      </c>
      <c r="M53" s="45"/>
      <c r="N53" s="52">
        <f t="shared" si="5"/>
        <v>0</v>
      </c>
      <c r="O53" s="47">
        <f t="shared" si="6"/>
        <v>0.14000000000000001</v>
      </c>
      <c r="P53" s="44">
        <f t="shared" si="7"/>
        <v>0</v>
      </c>
      <c r="Q53" s="44">
        <f t="shared" si="10"/>
        <v>0</v>
      </c>
      <c r="R53" s="44">
        <f t="shared" si="8"/>
        <v>0</v>
      </c>
      <c r="S53" s="48">
        <f t="shared" si="9"/>
        <v>1483.7760000000001</v>
      </c>
      <c r="T53" s="50">
        <v>800000</v>
      </c>
      <c r="U53" s="50">
        <f t="shared" si="11"/>
        <v>919999.99999999988</v>
      </c>
      <c r="V53" s="51"/>
      <c r="W53" t="s">
        <v>128</v>
      </c>
    </row>
    <row r="54" spans="2:23" ht="13.5" x14ac:dyDescent="0.25">
      <c r="B54" s="40">
        <v>43</v>
      </c>
      <c r="C54" s="41" t="s">
        <v>129</v>
      </c>
      <c r="D54" s="40"/>
      <c r="E54" s="42">
        <f>U54*$U$9</f>
        <v>4600000</v>
      </c>
      <c r="F54" s="42">
        <f t="shared" si="0"/>
        <v>0</v>
      </c>
      <c r="G54" s="43">
        <v>10000</v>
      </c>
      <c r="H54" s="43">
        <v>2000</v>
      </c>
      <c r="I54" s="44">
        <f t="shared" si="1"/>
        <v>460</v>
      </c>
      <c r="J54" s="44">
        <f t="shared" si="2"/>
        <v>138</v>
      </c>
      <c r="K54" s="44">
        <f t="shared" si="3"/>
        <v>598</v>
      </c>
      <c r="L54" s="44">
        <f t="shared" si="4"/>
        <v>230</v>
      </c>
      <c r="M54" s="45"/>
      <c r="N54" s="52">
        <f t="shared" si="5"/>
        <v>0</v>
      </c>
      <c r="O54" s="47">
        <f t="shared" si="6"/>
        <v>0.14000000000000001</v>
      </c>
      <c r="P54" s="44">
        <f t="shared" si="7"/>
        <v>0</v>
      </c>
      <c r="Q54" s="44">
        <f t="shared" si="10"/>
        <v>0</v>
      </c>
      <c r="R54" s="44">
        <f t="shared" si="8"/>
        <v>0</v>
      </c>
      <c r="S54" s="48">
        <f t="shared" si="9"/>
        <v>828</v>
      </c>
      <c r="T54" s="50">
        <v>500000</v>
      </c>
      <c r="U54" s="50">
        <f t="shared" si="11"/>
        <v>575000</v>
      </c>
    </row>
    <row r="55" spans="2:23" ht="13.5" x14ac:dyDescent="0.25">
      <c r="B55" s="40">
        <v>44</v>
      </c>
      <c r="C55" s="41" t="s">
        <v>130</v>
      </c>
      <c r="D55" s="40"/>
      <c r="E55" s="42">
        <f>U55*$U$9*1.2</f>
        <v>38639.999999999993</v>
      </c>
      <c r="F55" s="42">
        <f t="shared" si="0"/>
        <v>0</v>
      </c>
      <c r="G55" s="43">
        <v>10000</v>
      </c>
      <c r="H55" s="43">
        <v>2000</v>
      </c>
      <c r="I55" s="44">
        <f t="shared" si="1"/>
        <v>3.8639999999999994</v>
      </c>
      <c r="J55" s="44">
        <f t="shared" si="2"/>
        <v>1.1591999999999998</v>
      </c>
      <c r="K55" s="44">
        <f t="shared" si="3"/>
        <v>5.0231999999999992</v>
      </c>
      <c r="L55" s="44">
        <f t="shared" si="4"/>
        <v>1.9319999999999997</v>
      </c>
      <c r="M55" s="45"/>
      <c r="N55" s="52">
        <f t="shared" si="5"/>
        <v>0</v>
      </c>
      <c r="O55" s="47">
        <f t="shared" si="6"/>
        <v>0.14000000000000001</v>
      </c>
      <c r="P55" s="44">
        <f t="shared" si="7"/>
        <v>0</v>
      </c>
      <c r="Q55" s="44">
        <f t="shared" si="10"/>
        <v>0</v>
      </c>
      <c r="R55" s="44">
        <f t="shared" si="8"/>
        <v>0</v>
      </c>
      <c r="S55" s="48">
        <f t="shared" si="9"/>
        <v>6.9551999999999987</v>
      </c>
      <c r="T55" s="50">
        <v>3500</v>
      </c>
      <c r="U55" s="50">
        <f t="shared" si="11"/>
        <v>4024.9999999999995</v>
      </c>
      <c r="V55" s="51"/>
    </row>
    <row r="56" spans="2:23" ht="13.5" x14ac:dyDescent="0.25">
      <c r="B56" s="40">
        <v>45</v>
      </c>
      <c r="C56" s="41" t="s">
        <v>131</v>
      </c>
      <c r="D56" s="40">
        <v>78</v>
      </c>
      <c r="E56" s="42">
        <f>U56*$U$9*1.2</f>
        <v>883200</v>
      </c>
      <c r="F56" s="42">
        <f t="shared" si="0"/>
        <v>0</v>
      </c>
      <c r="G56" s="43">
        <v>10000</v>
      </c>
      <c r="H56" s="43">
        <v>2000</v>
      </c>
      <c r="I56" s="44">
        <f t="shared" si="1"/>
        <v>88.32</v>
      </c>
      <c r="J56" s="44">
        <f t="shared" si="2"/>
        <v>26.495999999999999</v>
      </c>
      <c r="K56" s="44">
        <f t="shared" si="3"/>
        <v>114.81599999999999</v>
      </c>
      <c r="L56" s="44">
        <f t="shared" si="4"/>
        <v>44.16</v>
      </c>
      <c r="M56" s="45" t="s">
        <v>65</v>
      </c>
      <c r="N56" s="52" t="e">
        <f t="shared" si="5"/>
        <v>#REF!</v>
      </c>
      <c r="O56" s="47">
        <f t="shared" si="6"/>
        <v>0.14000000000000001</v>
      </c>
      <c r="P56" s="44" t="e">
        <f t="shared" si="7"/>
        <v>#REF!</v>
      </c>
      <c r="Q56" s="44" t="e">
        <f t="shared" si="10"/>
        <v>#REF!</v>
      </c>
      <c r="R56" s="44" t="e">
        <f t="shared" si="8"/>
        <v>#REF!</v>
      </c>
      <c r="S56" s="48" t="e">
        <f t="shared" si="9"/>
        <v>#REF!</v>
      </c>
      <c r="T56" s="50">
        <v>80000</v>
      </c>
      <c r="U56" s="50">
        <f t="shared" si="11"/>
        <v>92000</v>
      </c>
      <c r="V56" s="51"/>
      <c r="W56" t="s">
        <v>132</v>
      </c>
    </row>
    <row r="57" spans="2:23" ht="13.5" x14ac:dyDescent="0.25">
      <c r="B57" s="40">
        <v>46</v>
      </c>
      <c r="C57" s="41" t="s">
        <v>133</v>
      </c>
      <c r="D57" s="40">
        <v>128</v>
      </c>
      <c r="E57" s="42">
        <f>+'IN-12-11'!D184</f>
        <v>1391301.6</v>
      </c>
      <c r="F57" s="42">
        <f t="shared" si="0"/>
        <v>0</v>
      </c>
      <c r="G57" s="43">
        <v>10000</v>
      </c>
      <c r="H57" s="43">
        <v>2000</v>
      </c>
      <c r="I57" s="44">
        <f t="shared" si="1"/>
        <v>139.13016000000002</v>
      </c>
      <c r="J57" s="44">
        <f t="shared" si="2"/>
        <v>41.739048000000004</v>
      </c>
      <c r="K57" s="44">
        <f t="shared" si="3"/>
        <v>180.86920800000001</v>
      </c>
      <c r="L57" s="44">
        <f t="shared" si="4"/>
        <v>69.565080000000009</v>
      </c>
      <c r="M57" s="45" t="s">
        <v>65</v>
      </c>
      <c r="N57" s="52" t="e">
        <f t="shared" si="5"/>
        <v>#REF!</v>
      </c>
      <c r="O57" s="47">
        <f t="shared" si="6"/>
        <v>0.14000000000000001</v>
      </c>
      <c r="P57" s="44" t="e">
        <f t="shared" si="7"/>
        <v>#REF!</v>
      </c>
      <c r="Q57" s="44" t="e">
        <f t="shared" si="10"/>
        <v>#REF!</v>
      </c>
      <c r="R57" s="44" t="e">
        <f t="shared" si="8"/>
        <v>#REF!</v>
      </c>
      <c r="S57" s="48" t="e">
        <f t="shared" si="9"/>
        <v>#REF!</v>
      </c>
      <c r="T57" s="50">
        <v>170000</v>
      </c>
      <c r="U57" s="50">
        <f t="shared" si="11"/>
        <v>195499.99999999997</v>
      </c>
      <c r="V57" s="51"/>
      <c r="W57" t="s">
        <v>134</v>
      </c>
    </row>
    <row r="58" spans="2:23" ht="13.5" x14ac:dyDescent="0.25">
      <c r="B58" s="40">
        <v>47</v>
      </c>
      <c r="C58" s="41" t="s">
        <v>135</v>
      </c>
      <c r="D58" s="40">
        <v>230</v>
      </c>
      <c r="E58" s="42">
        <f>U58*$U$9*1.2</f>
        <v>3201600</v>
      </c>
      <c r="F58" s="42">
        <f t="shared" si="0"/>
        <v>0</v>
      </c>
      <c r="G58" s="43">
        <v>10000</v>
      </c>
      <c r="H58" s="43">
        <v>2000</v>
      </c>
      <c r="I58" s="44">
        <f t="shared" si="1"/>
        <v>320.16000000000003</v>
      </c>
      <c r="J58" s="44">
        <f t="shared" si="2"/>
        <v>96.048000000000002</v>
      </c>
      <c r="K58" s="44">
        <f t="shared" si="3"/>
        <v>416.20800000000003</v>
      </c>
      <c r="L58" s="44">
        <f t="shared" si="4"/>
        <v>160.08000000000001</v>
      </c>
      <c r="M58" s="45" t="s">
        <v>65</v>
      </c>
      <c r="N58" s="52" t="e">
        <f t="shared" si="5"/>
        <v>#REF!</v>
      </c>
      <c r="O58" s="47">
        <f t="shared" si="6"/>
        <v>0.14000000000000001</v>
      </c>
      <c r="P58" s="44" t="e">
        <f t="shared" si="7"/>
        <v>#REF!</v>
      </c>
      <c r="Q58" s="44" t="e">
        <f t="shared" si="10"/>
        <v>#REF!</v>
      </c>
      <c r="R58" s="44" t="e">
        <f t="shared" si="8"/>
        <v>#REF!</v>
      </c>
      <c r="S58" s="48" t="e">
        <f t="shared" si="9"/>
        <v>#REF!</v>
      </c>
      <c r="T58" s="50">
        <v>290000</v>
      </c>
      <c r="U58" s="50">
        <f t="shared" si="11"/>
        <v>333500</v>
      </c>
      <c r="V58" s="51"/>
      <c r="W58" t="s">
        <v>136</v>
      </c>
    </row>
    <row r="59" spans="2:23" ht="13.5" x14ac:dyDescent="0.25">
      <c r="B59" s="40">
        <v>48</v>
      </c>
      <c r="C59" s="41" t="s">
        <v>137</v>
      </c>
      <c r="D59" s="40">
        <v>100</v>
      </c>
      <c r="E59" s="42">
        <f>+'IN-12-11'!D121</f>
        <v>828421.28</v>
      </c>
      <c r="F59" s="42">
        <f t="shared" si="0"/>
        <v>0</v>
      </c>
      <c r="G59" s="43">
        <v>10000</v>
      </c>
      <c r="H59" s="43">
        <v>2000</v>
      </c>
      <c r="I59" s="44">
        <f t="shared" si="1"/>
        <v>82.842128000000002</v>
      </c>
      <c r="J59" s="44">
        <f t="shared" si="2"/>
        <v>24.8526384</v>
      </c>
      <c r="K59" s="44">
        <f t="shared" si="3"/>
        <v>107.69476640000001</v>
      </c>
      <c r="L59" s="44">
        <f t="shared" si="4"/>
        <v>41.421064000000001</v>
      </c>
      <c r="M59" s="45" t="s">
        <v>65</v>
      </c>
      <c r="N59" s="52" t="e">
        <f t="shared" si="5"/>
        <v>#REF!</v>
      </c>
      <c r="O59" s="47">
        <f t="shared" si="6"/>
        <v>0.14000000000000001</v>
      </c>
      <c r="P59" s="44" t="e">
        <f t="shared" si="7"/>
        <v>#REF!</v>
      </c>
      <c r="Q59" s="44" t="e">
        <f t="shared" si="10"/>
        <v>#REF!</v>
      </c>
      <c r="R59" s="44" t="e">
        <f t="shared" si="8"/>
        <v>#REF!</v>
      </c>
      <c r="S59" s="48" t="e">
        <f t="shared" si="9"/>
        <v>#REF!</v>
      </c>
      <c r="T59" s="50">
        <v>85000</v>
      </c>
      <c r="U59" s="50">
        <f t="shared" si="11"/>
        <v>97749.999999999985</v>
      </c>
      <c r="V59" s="51"/>
      <c r="W59" t="s">
        <v>138</v>
      </c>
    </row>
    <row r="60" spans="2:23" ht="13.5" x14ac:dyDescent="0.25">
      <c r="B60" s="40">
        <v>49</v>
      </c>
      <c r="C60" s="41" t="s">
        <v>139</v>
      </c>
      <c r="D60" s="40">
        <v>145</v>
      </c>
      <c r="E60" s="42">
        <f>+'IN-12-11'!D123</f>
        <v>1041480.91</v>
      </c>
      <c r="F60" s="42">
        <f t="shared" si="0"/>
        <v>0</v>
      </c>
      <c r="G60" s="43">
        <v>10000</v>
      </c>
      <c r="H60" s="43">
        <v>2000</v>
      </c>
      <c r="I60" s="44">
        <f t="shared" si="1"/>
        <v>104.14809100000001</v>
      </c>
      <c r="J60" s="44">
        <f t="shared" si="2"/>
        <v>31.244427299999998</v>
      </c>
      <c r="K60" s="44">
        <f t="shared" si="3"/>
        <v>135.39251830000001</v>
      </c>
      <c r="L60" s="44">
        <f t="shared" si="4"/>
        <v>52.074045500000004</v>
      </c>
      <c r="M60" s="45" t="s">
        <v>65</v>
      </c>
      <c r="N60" s="52" t="e">
        <f t="shared" si="5"/>
        <v>#REF!</v>
      </c>
      <c r="O60" s="47">
        <f t="shared" si="6"/>
        <v>0.14000000000000001</v>
      </c>
      <c r="P60" s="44" t="e">
        <f t="shared" si="7"/>
        <v>#REF!</v>
      </c>
      <c r="Q60" s="44" t="e">
        <f t="shared" si="10"/>
        <v>#REF!</v>
      </c>
      <c r="R60" s="44" t="e">
        <f t="shared" si="8"/>
        <v>#REF!</v>
      </c>
      <c r="S60" s="48" t="e">
        <f t="shared" si="9"/>
        <v>#REF!</v>
      </c>
      <c r="T60" s="50">
        <v>110000</v>
      </c>
      <c r="U60" s="50">
        <f t="shared" si="11"/>
        <v>126499.99999999999</v>
      </c>
      <c r="V60" s="51"/>
      <c r="W60" s="53" t="s">
        <v>69</v>
      </c>
    </row>
    <row r="61" spans="2:23" ht="13.5" x14ac:dyDescent="0.25">
      <c r="B61" s="40">
        <v>50</v>
      </c>
      <c r="C61" s="41" t="s">
        <v>140</v>
      </c>
      <c r="D61" s="40">
        <v>40</v>
      </c>
      <c r="E61" s="42">
        <f>U61*$U$9*1.2</f>
        <v>463679.99999999994</v>
      </c>
      <c r="F61" s="42">
        <f t="shared" si="0"/>
        <v>0</v>
      </c>
      <c r="G61" s="43">
        <v>10000</v>
      </c>
      <c r="H61" s="43">
        <v>2000</v>
      </c>
      <c r="I61" s="44">
        <f t="shared" si="1"/>
        <v>46.367999999999995</v>
      </c>
      <c r="J61" s="44">
        <f t="shared" si="2"/>
        <v>13.910399999999997</v>
      </c>
      <c r="K61" s="44">
        <f t="shared" si="3"/>
        <v>60.278399999999991</v>
      </c>
      <c r="L61" s="44">
        <f t="shared" si="4"/>
        <v>23.183999999999997</v>
      </c>
      <c r="M61" s="45" t="s">
        <v>65</v>
      </c>
      <c r="N61" s="52" t="e">
        <f t="shared" si="5"/>
        <v>#REF!</v>
      </c>
      <c r="O61" s="47">
        <f t="shared" si="6"/>
        <v>0.14000000000000001</v>
      </c>
      <c r="P61" s="44" t="e">
        <f t="shared" si="7"/>
        <v>#REF!</v>
      </c>
      <c r="Q61" s="44" t="e">
        <f t="shared" si="10"/>
        <v>#REF!</v>
      </c>
      <c r="R61" s="44" t="e">
        <f t="shared" si="8"/>
        <v>#REF!</v>
      </c>
      <c r="S61" s="48" t="e">
        <f t="shared" si="9"/>
        <v>#REF!</v>
      </c>
      <c r="T61" s="50">
        <v>42000</v>
      </c>
      <c r="U61" s="50">
        <f t="shared" si="11"/>
        <v>48299.999999999993</v>
      </c>
      <c r="V61" s="51"/>
      <c r="W61" t="s">
        <v>141</v>
      </c>
    </row>
    <row r="62" spans="2:23" ht="13.5" x14ac:dyDescent="0.25">
      <c r="B62" s="40">
        <v>51</v>
      </c>
      <c r="C62" s="54" t="s">
        <v>142</v>
      </c>
      <c r="D62" s="55"/>
      <c r="E62" s="42">
        <f>U62*$U$9*1.2</f>
        <v>441600</v>
      </c>
      <c r="F62" s="42">
        <f t="shared" si="0"/>
        <v>0</v>
      </c>
      <c r="G62" s="43">
        <v>10000</v>
      </c>
      <c r="H62" s="43">
        <v>2000</v>
      </c>
      <c r="I62" s="44">
        <f t="shared" si="1"/>
        <v>44.16</v>
      </c>
      <c r="J62" s="44">
        <f t="shared" si="2"/>
        <v>13.247999999999999</v>
      </c>
      <c r="K62" s="44">
        <f t="shared" si="3"/>
        <v>57.407999999999994</v>
      </c>
      <c r="L62" s="44">
        <f t="shared" si="4"/>
        <v>22.08</v>
      </c>
      <c r="M62" s="45"/>
      <c r="N62" s="52">
        <f t="shared" si="5"/>
        <v>0</v>
      </c>
      <c r="O62" s="47">
        <f t="shared" si="6"/>
        <v>0.14000000000000001</v>
      </c>
      <c r="P62" s="44">
        <f t="shared" si="7"/>
        <v>0</v>
      </c>
      <c r="Q62" s="44">
        <f t="shared" si="10"/>
        <v>0</v>
      </c>
      <c r="R62" s="44">
        <f t="shared" si="8"/>
        <v>0</v>
      </c>
      <c r="S62" s="48">
        <f t="shared" si="9"/>
        <v>79.488</v>
      </c>
      <c r="T62" s="56">
        <v>40000</v>
      </c>
      <c r="U62" s="50">
        <f t="shared" si="11"/>
        <v>46000</v>
      </c>
      <c r="V62" s="51"/>
      <c r="W62" s="57" t="s">
        <v>143</v>
      </c>
    </row>
    <row r="63" spans="2:23" ht="13.5" x14ac:dyDescent="0.25">
      <c r="B63" s="40">
        <v>52</v>
      </c>
      <c r="C63" s="54" t="s">
        <v>144</v>
      </c>
      <c r="D63" s="55">
        <v>90</v>
      </c>
      <c r="E63" s="42">
        <f>U63*$U$9*1.2</f>
        <v>529919.99999999988</v>
      </c>
      <c r="F63" s="42">
        <f t="shared" si="0"/>
        <v>0</v>
      </c>
      <c r="G63" s="43">
        <v>10000</v>
      </c>
      <c r="H63" s="43">
        <v>2000</v>
      </c>
      <c r="I63" s="44">
        <f t="shared" si="1"/>
        <v>52.99199999999999</v>
      </c>
      <c r="J63" s="44">
        <f t="shared" si="2"/>
        <v>15.897599999999997</v>
      </c>
      <c r="K63" s="44">
        <f t="shared" si="3"/>
        <v>68.889599999999987</v>
      </c>
      <c r="L63" s="44">
        <f t="shared" si="4"/>
        <v>26.495999999999995</v>
      </c>
      <c r="M63" s="45" t="s">
        <v>65</v>
      </c>
      <c r="N63" s="52" t="e">
        <f t="shared" si="5"/>
        <v>#REF!</v>
      </c>
      <c r="O63" s="47">
        <f t="shared" si="6"/>
        <v>0.14000000000000001</v>
      </c>
      <c r="P63" s="44" t="e">
        <f t="shared" si="7"/>
        <v>#REF!</v>
      </c>
      <c r="Q63" s="44" t="e">
        <f t="shared" si="10"/>
        <v>#REF!</v>
      </c>
      <c r="R63" s="44" t="e">
        <f t="shared" si="8"/>
        <v>#REF!</v>
      </c>
      <c r="S63" s="48" t="e">
        <f t="shared" si="9"/>
        <v>#REF!</v>
      </c>
      <c r="T63" s="56">
        <v>48000</v>
      </c>
      <c r="U63" s="50">
        <f t="shared" si="11"/>
        <v>55199.999999999993</v>
      </c>
      <c r="V63" s="51"/>
      <c r="W63" s="57" t="s">
        <v>122</v>
      </c>
    </row>
    <row r="64" spans="2:23" ht="13.5" x14ac:dyDescent="0.25">
      <c r="B64" s="40">
        <v>53</v>
      </c>
      <c r="C64" s="54" t="s">
        <v>145</v>
      </c>
      <c r="D64" s="55"/>
      <c r="E64" s="42">
        <f>U64*$U$9*1.2</f>
        <v>110400</v>
      </c>
      <c r="F64" s="42">
        <f t="shared" si="0"/>
        <v>0</v>
      </c>
      <c r="G64" s="43">
        <v>10000</v>
      </c>
      <c r="H64" s="43">
        <v>2000</v>
      </c>
      <c r="I64" s="44">
        <f t="shared" si="1"/>
        <v>11.04</v>
      </c>
      <c r="J64" s="44">
        <f t="shared" si="2"/>
        <v>3.3119999999999998</v>
      </c>
      <c r="K64" s="44">
        <f t="shared" si="3"/>
        <v>14.351999999999999</v>
      </c>
      <c r="L64" s="44">
        <f t="shared" si="4"/>
        <v>5.52</v>
      </c>
      <c r="M64" s="45"/>
      <c r="N64" s="52">
        <f t="shared" si="5"/>
        <v>0</v>
      </c>
      <c r="O64" s="47">
        <f t="shared" si="6"/>
        <v>0.14000000000000001</v>
      </c>
      <c r="P64" s="44">
        <f t="shared" si="7"/>
        <v>0</v>
      </c>
      <c r="Q64" s="44">
        <f t="shared" si="10"/>
        <v>0</v>
      </c>
      <c r="R64" s="44">
        <f t="shared" si="8"/>
        <v>0</v>
      </c>
      <c r="S64" s="48">
        <f t="shared" si="9"/>
        <v>19.872</v>
      </c>
      <c r="T64" s="56">
        <v>10000</v>
      </c>
      <c r="U64" s="50">
        <f t="shared" si="11"/>
        <v>11500</v>
      </c>
      <c r="V64" s="51"/>
      <c r="W64" s="57" t="s">
        <v>146</v>
      </c>
    </row>
    <row r="65" spans="2:23" ht="13.5" x14ac:dyDescent="0.25">
      <c r="B65" s="40">
        <v>54</v>
      </c>
      <c r="C65" s="54" t="s">
        <v>147</v>
      </c>
      <c r="D65" s="55">
        <v>130</v>
      </c>
      <c r="E65" s="42">
        <f>U65*$U$9</f>
        <v>1977999.9999999998</v>
      </c>
      <c r="F65" s="42">
        <f t="shared" si="0"/>
        <v>0</v>
      </c>
      <c r="G65" s="43">
        <v>10000</v>
      </c>
      <c r="H65" s="43">
        <v>2000</v>
      </c>
      <c r="I65" s="44">
        <f t="shared" si="1"/>
        <v>197.79999999999998</v>
      </c>
      <c r="J65" s="44">
        <f t="shared" si="2"/>
        <v>59.339999999999989</v>
      </c>
      <c r="K65" s="44">
        <f t="shared" si="3"/>
        <v>257.14</v>
      </c>
      <c r="L65" s="44">
        <f t="shared" si="4"/>
        <v>98.899999999999991</v>
      </c>
      <c r="M65" s="45" t="s">
        <v>65</v>
      </c>
      <c r="N65" s="52" t="e">
        <f t="shared" si="5"/>
        <v>#REF!</v>
      </c>
      <c r="O65" s="47">
        <f t="shared" si="6"/>
        <v>0.14000000000000001</v>
      </c>
      <c r="P65" s="44" t="e">
        <f t="shared" si="7"/>
        <v>#REF!</v>
      </c>
      <c r="Q65" s="44" t="e">
        <f t="shared" si="10"/>
        <v>#REF!</v>
      </c>
      <c r="R65" s="44" t="e">
        <f t="shared" si="8"/>
        <v>#REF!</v>
      </c>
      <c r="S65" s="48" t="e">
        <f t="shared" si="9"/>
        <v>#REF!</v>
      </c>
      <c r="T65" s="56">
        <v>215000</v>
      </c>
      <c r="U65" s="50">
        <f t="shared" si="11"/>
        <v>247249.99999999997</v>
      </c>
      <c r="V65" s="51"/>
      <c r="W65" t="s">
        <v>148</v>
      </c>
    </row>
    <row r="66" spans="2:23" ht="13.5" x14ac:dyDescent="0.25">
      <c r="B66" s="40">
        <v>55</v>
      </c>
      <c r="C66" s="54" t="s">
        <v>149</v>
      </c>
      <c r="D66" s="55">
        <v>150</v>
      </c>
      <c r="E66" s="42">
        <f>+E65*1.1</f>
        <v>2175800</v>
      </c>
      <c r="F66" s="42">
        <f t="shared" si="0"/>
        <v>0</v>
      </c>
      <c r="G66" s="43">
        <v>10000</v>
      </c>
      <c r="H66" s="43">
        <v>2000</v>
      </c>
      <c r="I66" s="44">
        <f t="shared" si="1"/>
        <v>217.58</v>
      </c>
      <c r="J66" s="44">
        <f t="shared" si="2"/>
        <v>65.274000000000001</v>
      </c>
      <c r="K66" s="44">
        <f t="shared" si="3"/>
        <v>282.85400000000004</v>
      </c>
      <c r="L66" s="44">
        <f t="shared" si="4"/>
        <v>108.79</v>
      </c>
      <c r="M66" s="45" t="s">
        <v>65</v>
      </c>
      <c r="N66" s="52" t="e">
        <f t="shared" si="5"/>
        <v>#REF!</v>
      </c>
      <c r="O66" s="47">
        <f t="shared" si="6"/>
        <v>0.14000000000000001</v>
      </c>
      <c r="P66" s="44" t="e">
        <f t="shared" si="7"/>
        <v>#REF!</v>
      </c>
      <c r="Q66" s="44" t="e">
        <f t="shared" si="10"/>
        <v>#REF!</v>
      </c>
      <c r="R66" s="44" t="e">
        <f t="shared" si="8"/>
        <v>#REF!</v>
      </c>
      <c r="S66" s="48" t="e">
        <f t="shared" si="9"/>
        <v>#REF!</v>
      </c>
      <c r="T66" s="56">
        <v>265000</v>
      </c>
      <c r="U66" s="50">
        <f t="shared" si="11"/>
        <v>304750</v>
      </c>
      <c r="V66" s="51"/>
      <c r="W66" t="s">
        <v>150</v>
      </c>
    </row>
    <row r="67" spans="2:23" ht="13.5" x14ac:dyDescent="0.25">
      <c r="B67" s="40">
        <v>56</v>
      </c>
      <c r="C67" s="54" t="s">
        <v>151</v>
      </c>
      <c r="D67" s="55">
        <v>180</v>
      </c>
      <c r="E67" s="42">
        <f>U67*$U$9*1.3</f>
        <v>3109600</v>
      </c>
      <c r="F67" s="42">
        <f t="shared" si="0"/>
        <v>0</v>
      </c>
      <c r="G67" s="43">
        <v>10000</v>
      </c>
      <c r="H67" s="43">
        <v>2000</v>
      </c>
      <c r="I67" s="44">
        <f t="shared" si="1"/>
        <v>310.95999999999998</v>
      </c>
      <c r="J67" s="44">
        <f t="shared" si="2"/>
        <v>93.287999999999997</v>
      </c>
      <c r="K67" s="44">
        <f t="shared" si="3"/>
        <v>404.24799999999999</v>
      </c>
      <c r="L67" s="44">
        <f t="shared" si="4"/>
        <v>155.47999999999999</v>
      </c>
      <c r="M67" s="45" t="s">
        <v>65</v>
      </c>
      <c r="N67" s="52" t="e">
        <f t="shared" si="5"/>
        <v>#REF!</v>
      </c>
      <c r="O67" s="47">
        <f t="shared" si="6"/>
        <v>0.14000000000000001</v>
      </c>
      <c r="P67" s="44" t="e">
        <f t="shared" si="7"/>
        <v>#REF!</v>
      </c>
      <c r="Q67" s="44" t="e">
        <f t="shared" si="10"/>
        <v>#REF!</v>
      </c>
      <c r="R67" s="44" t="e">
        <f t="shared" si="8"/>
        <v>#REF!</v>
      </c>
      <c r="S67" s="48" t="e">
        <f t="shared" si="9"/>
        <v>#REF!</v>
      </c>
      <c r="T67" s="56">
        <v>260000</v>
      </c>
      <c r="U67" s="50">
        <f t="shared" si="11"/>
        <v>299000</v>
      </c>
      <c r="V67" s="51"/>
      <c r="W67" t="s">
        <v>152</v>
      </c>
    </row>
    <row r="68" spans="2:23" ht="13.5" x14ac:dyDescent="0.25">
      <c r="B68" s="40">
        <v>57</v>
      </c>
      <c r="C68" s="54" t="s">
        <v>153</v>
      </c>
      <c r="D68" s="55">
        <v>300</v>
      </c>
      <c r="E68" s="42">
        <f t="shared" ref="E68:E74" si="13">U68*$U$9*1.3</f>
        <v>6338800</v>
      </c>
      <c r="F68" s="42">
        <f t="shared" si="0"/>
        <v>0</v>
      </c>
      <c r="G68" s="43">
        <v>10000</v>
      </c>
      <c r="H68" s="43">
        <v>2000</v>
      </c>
      <c r="I68" s="44">
        <f t="shared" si="1"/>
        <v>633.88</v>
      </c>
      <c r="J68" s="44">
        <f t="shared" si="2"/>
        <v>190.16399999999999</v>
      </c>
      <c r="K68" s="44">
        <f t="shared" si="3"/>
        <v>824.04399999999998</v>
      </c>
      <c r="L68" s="44">
        <f t="shared" si="4"/>
        <v>316.94</v>
      </c>
      <c r="M68" s="45" t="s">
        <v>65</v>
      </c>
      <c r="N68" s="52" t="e">
        <f t="shared" si="5"/>
        <v>#REF!</v>
      </c>
      <c r="O68" s="47">
        <f t="shared" si="6"/>
        <v>0.14000000000000001</v>
      </c>
      <c r="P68" s="44" t="e">
        <f t="shared" si="7"/>
        <v>#REF!</v>
      </c>
      <c r="Q68" s="44" t="e">
        <f t="shared" si="10"/>
        <v>#REF!</v>
      </c>
      <c r="R68" s="44" t="e">
        <f t="shared" si="8"/>
        <v>#REF!</v>
      </c>
      <c r="S68" s="48" t="e">
        <f t="shared" si="9"/>
        <v>#REF!</v>
      </c>
      <c r="T68" s="56">
        <v>530000</v>
      </c>
      <c r="U68" s="50">
        <f t="shared" si="11"/>
        <v>609500</v>
      </c>
      <c r="V68" s="51"/>
      <c r="W68" t="s">
        <v>154</v>
      </c>
    </row>
    <row r="69" spans="2:23" ht="13.5" x14ac:dyDescent="0.25">
      <c r="B69" s="40">
        <v>58</v>
      </c>
      <c r="C69" s="54" t="s">
        <v>155</v>
      </c>
      <c r="D69" s="55">
        <v>130</v>
      </c>
      <c r="E69" s="42">
        <f t="shared" si="13"/>
        <v>430560</v>
      </c>
      <c r="F69" s="42">
        <f t="shared" si="0"/>
        <v>0</v>
      </c>
      <c r="G69" s="43">
        <v>10000</v>
      </c>
      <c r="H69" s="43">
        <v>2000</v>
      </c>
      <c r="I69" s="44">
        <f t="shared" si="1"/>
        <v>43.055999999999997</v>
      </c>
      <c r="J69" s="44">
        <f t="shared" si="2"/>
        <v>12.916799999999999</v>
      </c>
      <c r="K69" s="44">
        <f t="shared" si="3"/>
        <v>55.972799999999992</v>
      </c>
      <c r="L69" s="44">
        <f t="shared" si="4"/>
        <v>21.527999999999999</v>
      </c>
      <c r="M69" s="45" t="s">
        <v>65</v>
      </c>
      <c r="N69" s="52" t="e">
        <f t="shared" si="5"/>
        <v>#REF!</v>
      </c>
      <c r="O69" s="47">
        <f t="shared" si="6"/>
        <v>0.14000000000000001</v>
      </c>
      <c r="P69" s="44" t="e">
        <f t="shared" si="7"/>
        <v>#REF!</v>
      </c>
      <c r="Q69" s="44" t="e">
        <f t="shared" si="10"/>
        <v>#REF!</v>
      </c>
      <c r="R69" s="44" t="e">
        <f t="shared" si="8"/>
        <v>#REF!</v>
      </c>
      <c r="S69" s="48" t="e">
        <f t="shared" si="9"/>
        <v>#REF!</v>
      </c>
      <c r="T69" s="56">
        <v>36000</v>
      </c>
      <c r="U69" s="50">
        <f t="shared" si="11"/>
        <v>41400</v>
      </c>
      <c r="V69" s="51"/>
    </row>
    <row r="70" spans="2:23" ht="13.5" x14ac:dyDescent="0.25">
      <c r="B70" s="40">
        <v>59</v>
      </c>
      <c r="C70" s="54" t="s">
        <v>156</v>
      </c>
      <c r="D70" s="55">
        <v>170</v>
      </c>
      <c r="E70" s="42">
        <f t="shared" si="13"/>
        <v>657800</v>
      </c>
      <c r="F70" s="42">
        <f t="shared" si="0"/>
        <v>0</v>
      </c>
      <c r="G70" s="43">
        <v>10000</v>
      </c>
      <c r="H70" s="43">
        <v>2000</v>
      </c>
      <c r="I70" s="44">
        <f t="shared" si="1"/>
        <v>65.78</v>
      </c>
      <c r="J70" s="44">
        <f t="shared" si="2"/>
        <v>19.734000000000002</v>
      </c>
      <c r="K70" s="44">
        <f t="shared" si="3"/>
        <v>85.51400000000001</v>
      </c>
      <c r="L70" s="44">
        <f t="shared" si="4"/>
        <v>32.89</v>
      </c>
      <c r="M70" s="45" t="s">
        <v>65</v>
      </c>
      <c r="N70" s="52" t="e">
        <f t="shared" si="5"/>
        <v>#REF!</v>
      </c>
      <c r="O70" s="47">
        <f t="shared" si="6"/>
        <v>0.14000000000000001</v>
      </c>
      <c r="P70" s="44" t="e">
        <f t="shared" si="7"/>
        <v>#REF!</v>
      </c>
      <c r="Q70" s="44" t="e">
        <f t="shared" si="10"/>
        <v>#REF!</v>
      </c>
      <c r="R70" s="44" t="e">
        <f t="shared" si="8"/>
        <v>#REF!</v>
      </c>
      <c r="S70" s="48" t="e">
        <f t="shared" si="9"/>
        <v>#REF!</v>
      </c>
      <c r="T70" s="56">
        <v>55000</v>
      </c>
      <c r="U70" s="50">
        <f t="shared" si="11"/>
        <v>63249.999999999993</v>
      </c>
      <c r="V70" s="51"/>
    </row>
    <row r="71" spans="2:23" ht="13.5" x14ac:dyDescent="0.25">
      <c r="B71" s="40">
        <v>60</v>
      </c>
      <c r="C71" s="54" t="s">
        <v>157</v>
      </c>
      <c r="D71" s="55">
        <v>20</v>
      </c>
      <c r="E71" s="42">
        <f t="shared" si="13"/>
        <v>0</v>
      </c>
      <c r="F71" s="42">
        <f t="shared" si="0"/>
        <v>0</v>
      </c>
      <c r="G71" s="43">
        <v>10000</v>
      </c>
      <c r="H71" s="43">
        <v>2000</v>
      </c>
      <c r="I71" s="44">
        <f t="shared" si="1"/>
        <v>0</v>
      </c>
      <c r="J71" s="44">
        <f t="shared" si="2"/>
        <v>0</v>
      </c>
      <c r="K71" s="44">
        <f t="shared" si="3"/>
        <v>0</v>
      </c>
      <c r="L71" s="44">
        <f t="shared" si="4"/>
        <v>0</v>
      </c>
      <c r="M71" s="45" t="s">
        <v>65</v>
      </c>
      <c r="N71" s="52" t="e">
        <f t="shared" si="5"/>
        <v>#REF!</v>
      </c>
      <c r="O71" s="47">
        <f t="shared" si="6"/>
        <v>0.14000000000000001</v>
      </c>
      <c r="P71" s="44" t="e">
        <f t="shared" si="7"/>
        <v>#REF!</v>
      </c>
      <c r="Q71" s="44" t="e">
        <f t="shared" si="10"/>
        <v>#REF!</v>
      </c>
      <c r="R71" s="44" t="e">
        <f t="shared" si="8"/>
        <v>#REF!</v>
      </c>
      <c r="S71" s="48" t="e">
        <f t="shared" si="9"/>
        <v>#REF!</v>
      </c>
      <c r="T71" s="56"/>
      <c r="U71" s="50">
        <f t="shared" si="11"/>
        <v>0</v>
      </c>
      <c r="V71" s="51"/>
    </row>
    <row r="72" spans="2:23" ht="13.5" x14ac:dyDescent="0.25">
      <c r="B72" s="40">
        <v>61</v>
      </c>
      <c r="C72" s="54" t="s">
        <v>158</v>
      </c>
      <c r="D72" s="55">
        <v>5</v>
      </c>
      <c r="E72" s="42">
        <f t="shared" si="13"/>
        <v>5980</v>
      </c>
      <c r="F72" s="42">
        <f t="shared" si="0"/>
        <v>0</v>
      </c>
      <c r="G72" s="43">
        <v>10000</v>
      </c>
      <c r="H72" s="43">
        <v>2000</v>
      </c>
      <c r="I72" s="44">
        <f t="shared" si="1"/>
        <v>0.59799999999999998</v>
      </c>
      <c r="J72" s="44">
        <f t="shared" si="2"/>
        <v>0.1794</v>
      </c>
      <c r="K72" s="44">
        <f t="shared" si="3"/>
        <v>0.77739999999999998</v>
      </c>
      <c r="L72" s="44">
        <f t="shared" si="4"/>
        <v>0.29899999999999999</v>
      </c>
      <c r="M72" s="45" t="s">
        <v>15</v>
      </c>
      <c r="N72" s="52" t="e">
        <f t="shared" si="5"/>
        <v>#REF!</v>
      </c>
      <c r="O72" s="47">
        <f t="shared" si="6"/>
        <v>0.14000000000000001</v>
      </c>
      <c r="P72" s="44" t="e">
        <f t="shared" si="7"/>
        <v>#REF!</v>
      </c>
      <c r="Q72" s="44" t="e">
        <f t="shared" si="10"/>
        <v>#REF!</v>
      </c>
      <c r="R72" s="44" t="e">
        <f t="shared" si="8"/>
        <v>#REF!</v>
      </c>
      <c r="S72" s="48" t="e">
        <f t="shared" si="9"/>
        <v>#REF!</v>
      </c>
      <c r="T72" s="56">
        <v>500</v>
      </c>
      <c r="U72" s="50">
        <f t="shared" si="11"/>
        <v>575</v>
      </c>
      <c r="V72" s="51"/>
      <c r="W72" t="s">
        <v>159</v>
      </c>
    </row>
    <row r="73" spans="2:23" ht="13.5" x14ac:dyDescent="0.25">
      <c r="B73" s="40">
        <v>62</v>
      </c>
      <c r="C73" s="54" t="s">
        <v>160</v>
      </c>
      <c r="D73" s="55"/>
      <c r="E73" s="42">
        <f t="shared" si="13"/>
        <v>478400</v>
      </c>
      <c r="F73" s="42">
        <f t="shared" si="0"/>
        <v>0</v>
      </c>
      <c r="G73" s="43">
        <v>10000</v>
      </c>
      <c r="H73" s="43">
        <v>2000</v>
      </c>
      <c r="I73" s="44">
        <f t="shared" si="1"/>
        <v>47.84</v>
      </c>
      <c r="J73" s="44">
        <f t="shared" si="2"/>
        <v>14.352</v>
      </c>
      <c r="K73" s="44">
        <f t="shared" si="3"/>
        <v>62.192000000000007</v>
      </c>
      <c r="L73" s="44">
        <f t="shared" si="4"/>
        <v>23.92</v>
      </c>
      <c r="M73" s="45"/>
      <c r="N73" s="52">
        <f t="shared" si="5"/>
        <v>0</v>
      </c>
      <c r="O73" s="47">
        <f t="shared" si="6"/>
        <v>0.14000000000000001</v>
      </c>
      <c r="P73" s="44">
        <f t="shared" si="7"/>
        <v>0</v>
      </c>
      <c r="Q73" s="44">
        <f t="shared" si="10"/>
        <v>0</v>
      </c>
      <c r="R73" s="44">
        <f t="shared" si="8"/>
        <v>0</v>
      </c>
      <c r="S73" s="48">
        <f t="shared" si="9"/>
        <v>86.112000000000009</v>
      </c>
      <c r="T73" s="56">
        <v>40000</v>
      </c>
      <c r="U73" s="50">
        <f t="shared" si="11"/>
        <v>46000</v>
      </c>
      <c r="V73" s="51"/>
      <c r="W73" t="s">
        <v>161</v>
      </c>
    </row>
    <row r="74" spans="2:23" ht="13.5" x14ac:dyDescent="0.25">
      <c r="B74" s="40">
        <v>63</v>
      </c>
      <c r="C74" s="54" t="s">
        <v>162</v>
      </c>
      <c r="D74" s="55"/>
      <c r="E74" s="42">
        <f t="shared" si="13"/>
        <v>334880</v>
      </c>
      <c r="F74" s="42">
        <f t="shared" si="0"/>
        <v>0</v>
      </c>
      <c r="G74" s="43">
        <v>10000</v>
      </c>
      <c r="H74" s="43">
        <v>2000</v>
      </c>
      <c r="I74" s="44">
        <f t="shared" si="1"/>
        <v>33.488</v>
      </c>
      <c r="J74" s="44">
        <f t="shared" si="2"/>
        <v>10.0464</v>
      </c>
      <c r="K74" s="44">
        <f t="shared" si="3"/>
        <v>43.534399999999998</v>
      </c>
      <c r="L74" s="44">
        <f t="shared" si="4"/>
        <v>16.744</v>
      </c>
      <c r="M74" s="45"/>
      <c r="N74" s="52">
        <f t="shared" si="5"/>
        <v>0</v>
      </c>
      <c r="O74" s="47">
        <f t="shared" si="6"/>
        <v>0.14000000000000001</v>
      </c>
      <c r="P74" s="44">
        <f t="shared" si="7"/>
        <v>0</v>
      </c>
      <c r="Q74" s="44">
        <f t="shared" si="10"/>
        <v>0</v>
      </c>
      <c r="R74" s="44">
        <f t="shared" si="8"/>
        <v>0</v>
      </c>
      <c r="S74" s="48">
        <f t="shared" si="9"/>
        <v>60.278399999999998</v>
      </c>
      <c r="T74" s="56">
        <v>28000</v>
      </c>
      <c r="U74" s="50">
        <f t="shared" si="11"/>
        <v>32199.999999999996</v>
      </c>
      <c r="V74" s="51"/>
    </row>
    <row r="75" spans="2:23" ht="13.5" x14ac:dyDescent="0.25">
      <c r="B75" s="40">
        <v>64</v>
      </c>
      <c r="C75" s="54" t="s">
        <v>163</v>
      </c>
      <c r="D75" s="55">
        <v>180</v>
      </c>
      <c r="E75" s="42">
        <f>U75*$U$9*1.3</f>
        <v>932880</v>
      </c>
      <c r="F75" s="42">
        <f t="shared" si="0"/>
        <v>0</v>
      </c>
      <c r="G75" s="43">
        <v>10000</v>
      </c>
      <c r="H75" s="43">
        <v>2000</v>
      </c>
      <c r="I75" s="44">
        <f t="shared" si="1"/>
        <v>93.287999999999997</v>
      </c>
      <c r="J75" s="44">
        <f t="shared" si="2"/>
        <v>27.986399999999996</v>
      </c>
      <c r="K75" s="44">
        <f t="shared" si="3"/>
        <v>121.27439999999999</v>
      </c>
      <c r="L75" s="44">
        <f t="shared" si="4"/>
        <v>46.643999999999998</v>
      </c>
      <c r="M75" s="45" t="s">
        <v>65</v>
      </c>
      <c r="N75" s="52" t="e">
        <f t="shared" si="5"/>
        <v>#REF!</v>
      </c>
      <c r="O75" s="47">
        <f t="shared" si="6"/>
        <v>0.14000000000000001</v>
      </c>
      <c r="P75" s="44" t="e">
        <f t="shared" si="7"/>
        <v>#REF!</v>
      </c>
      <c r="Q75" s="44" t="e">
        <f t="shared" si="10"/>
        <v>#REF!</v>
      </c>
      <c r="R75" s="44" t="e">
        <f t="shared" si="8"/>
        <v>#REF!</v>
      </c>
      <c r="S75" s="48" t="e">
        <f t="shared" si="9"/>
        <v>#REF!</v>
      </c>
      <c r="T75" s="56">
        <v>78000</v>
      </c>
      <c r="U75" s="50">
        <f t="shared" si="11"/>
        <v>89700</v>
      </c>
      <c r="V75" s="51"/>
    </row>
    <row r="76" spans="2:23" ht="13.5" x14ac:dyDescent="0.25">
      <c r="B76" s="40">
        <v>65</v>
      </c>
      <c r="C76" s="54" t="s">
        <v>164</v>
      </c>
      <c r="D76" s="55">
        <v>100</v>
      </c>
      <c r="E76" s="42">
        <f>1194886*1.3</f>
        <v>1553351.8</v>
      </c>
      <c r="F76" s="42">
        <f t="shared" ref="F76:F81" si="14">E76*$K$87</f>
        <v>0</v>
      </c>
      <c r="G76" s="43">
        <v>10000</v>
      </c>
      <c r="H76" s="43">
        <v>2000</v>
      </c>
      <c r="I76" s="44">
        <f t="shared" ref="I76:I84" si="15">(E76-F76)/G76</f>
        <v>155.33518000000001</v>
      </c>
      <c r="J76" s="44">
        <f t="shared" ref="J76:J84" si="16">+(E76*0.5*$C$89)/(H76)</f>
        <v>46.600553999999995</v>
      </c>
      <c r="K76" s="44">
        <f t="shared" ref="K76:K84" si="17">+J76+I76</f>
        <v>201.935734</v>
      </c>
      <c r="L76" s="44">
        <f>I76*$K$88</f>
        <v>77.667590000000004</v>
      </c>
      <c r="M76" s="45" t="s">
        <v>65</v>
      </c>
      <c r="N76" s="52" t="e">
        <f t="shared" ref="N76:N84" si="18">IF(M76="",0,IF(M76="Gasoil",$G$87,$G$88))</f>
        <v>#REF!</v>
      </c>
      <c r="O76" s="47">
        <f t="shared" ref="O76:O84" si="19">$O$87</f>
        <v>0.14000000000000001</v>
      </c>
      <c r="P76" s="44" t="e">
        <f t="shared" ref="P76:P84" si="20">N76*O76*D76</f>
        <v>#REF!</v>
      </c>
      <c r="Q76" s="44" t="e">
        <f t="shared" si="10"/>
        <v>#REF!</v>
      </c>
      <c r="R76" s="44" t="e">
        <f t="shared" ref="R76:R84" si="21">+P76+Q76</f>
        <v>#REF!</v>
      </c>
      <c r="S76" s="48" t="e">
        <f t="shared" ref="S76:S84" si="22">+K76+L76+R76</f>
        <v>#REF!</v>
      </c>
      <c r="T76" s="56"/>
      <c r="U76" s="50">
        <f t="shared" si="11"/>
        <v>0</v>
      </c>
      <c r="V76" s="51"/>
    </row>
    <row r="77" spans="2:23" ht="13.5" x14ac:dyDescent="0.25">
      <c r="B77" s="40">
        <v>66</v>
      </c>
      <c r="C77" s="54" t="s">
        <v>165</v>
      </c>
      <c r="D77" s="55">
        <v>143</v>
      </c>
      <c r="E77" s="42">
        <f>468434*1.3</f>
        <v>608964.20000000007</v>
      </c>
      <c r="F77" s="42">
        <f t="shared" si="14"/>
        <v>0</v>
      </c>
      <c r="G77" s="43">
        <v>10000</v>
      </c>
      <c r="H77" s="43">
        <v>2000</v>
      </c>
      <c r="I77" s="44">
        <f t="shared" si="15"/>
        <v>60.896420000000006</v>
      </c>
      <c r="J77" s="44">
        <f t="shared" si="16"/>
        <v>18.268926000000004</v>
      </c>
      <c r="K77" s="44">
        <f t="shared" si="17"/>
        <v>79.165346000000014</v>
      </c>
      <c r="L77" s="44">
        <f>I77*$K$88</f>
        <v>30.448210000000003</v>
      </c>
      <c r="M77" s="45" t="s">
        <v>65</v>
      </c>
      <c r="N77" s="52" t="e">
        <f t="shared" si="18"/>
        <v>#REF!</v>
      </c>
      <c r="O77" s="47">
        <f t="shared" si="19"/>
        <v>0.14000000000000001</v>
      </c>
      <c r="P77" s="44" t="e">
        <f t="shared" si="20"/>
        <v>#REF!</v>
      </c>
      <c r="Q77" s="44" t="e">
        <f t="shared" ref="Q77:Q84" si="23">P77*$O$88</f>
        <v>#REF!</v>
      </c>
      <c r="R77" s="44" t="e">
        <f t="shared" si="21"/>
        <v>#REF!</v>
      </c>
      <c r="S77" s="48" t="e">
        <f t="shared" si="22"/>
        <v>#REF!</v>
      </c>
      <c r="T77" s="56"/>
      <c r="U77" s="50">
        <f t="shared" ref="U77:U84" si="24">+T77*1.15</f>
        <v>0</v>
      </c>
      <c r="V77" s="51"/>
    </row>
    <row r="78" spans="2:23" ht="13.5" x14ac:dyDescent="0.25">
      <c r="B78" s="40">
        <v>67</v>
      </c>
      <c r="C78" s="54" t="s">
        <v>166</v>
      </c>
      <c r="D78" s="55">
        <v>0</v>
      </c>
      <c r="E78" s="42">
        <f>106352*1.3</f>
        <v>138257.60000000001</v>
      </c>
      <c r="F78" s="42">
        <f t="shared" si="14"/>
        <v>0</v>
      </c>
      <c r="G78" s="43">
        <v>10000</v>
      </c>
      <c r="H78" s="43">
        <v>2000</v>
      </c>
      <c r="I78" s="44">
        <f t="shared" si="15"/>
        <v>13.825760000000001</v>
      </c>
      <c r="J78" s="44">
        <f t="shared" si="16"/>
        <v>4.1477279999999999</v>
      </c>
      <c r="K78" s="44">
        <f t="shared" si="17"/>
        <v>17.973488</v>
      </c>
      <c r="L78" s="44">
        <f t="shared" ref="L78:L84" si="25">K78*0.8</f>
        <v>14.3787904</v>
      </c>
      <c r="M78" s="45" t="s">
        <v>65</v>
      </c>
      <c r="N78" s="52" t="e">
        <f t="shared" si="18"/>
        <v>#REF!</v>
      </c>
      <c r="O78" s="47">
        <f t="shared" si="19"/>
        <v>0.14000000000000001</v>
      </c>
      <c r="P78" s="44" t="e">
        <f t="shared" si="20"/>
        <v>#REF!</v>
      </c>
      <c r="Q78" s="44" t="e">
        <f t="shared" si="23"/>
        <v>#REF!</v>
      </c>
      <c r="R78" s="44" t="e">
        <f t="shared" si="21"/>
        <v>#REF!</v>
      </c>
      <c r="S78" s="48" t="e">
        <f t="shared" si="22"/>
        <v>#REF!</v>
      </c>
      <c r="T78" s="56"/>
      <c r="U78" s="50">
        <f t="shared" si="24"/>
        <v>0</v>
      </c>
      <c r="V78" s="51"/>
    </row>
    <row r="79" spans="2:23" ht="13.5" x14ac:dyDescent="0.25">
      <c r="B79" s="40">
        <v>68</v>
      </c>
      <c r="C79" s="54" t="s">
        <v>167</v>
      </c>
      <c r="D79" s="55">
        <v>3</v>
      </c>
      <c r="E79" s="42">
        <v>10664</v>
      </c>
      <c r="F79" s="42">
        <f t="shared" si="14"/>
        <v>0</v>
      </c>
      <c r="G79" s="43">
        <v>10000</v>
      </c>
      <c r="H79" s="43">
        <v>2000</v>
      </c>
      <c r="I79" s="44">
        <f t="shared" si="15"/>
        <v>1.0664</v>
      </c>
      <c r="J79" s="44">
        <f t="shared" si="16"/>
        <v>0.31992000000000004</v>
      </c>
      <c r="K79" s="44">
        <f t="shared" si="17"/>
        <v>1.38632</v>
      </c>
      <c r="L79" s="44">
        <f t="shared" si="25"/>
        <v>1.109056</v>
      </c>
      <c r="M79" s="45" t="s">
        <v>65</v>
      </c>
      <c r="N79" s="52" t="e">
        <f t="shared" si="18"/>
        <v>#REF!</v>
      </c>
      <c r="O79" s="47">
        <f t="shared" si="19"/>
        <v>0.14000000000000001</v>
      </c>
      <c r="P79" s="44" t="e">
        <f t="shared" si="20"/>
        <v>#REF!</v>
      </c>
      <c r="Q79" s="44" t="e">
        <f t="shared" si="23"/>
        <v>#REF!</v>
      </c>
      <c r="R79" s="44" t="e">
        <f t="shared" si="21"/>
        <v>#REF!</v>
      </c>
      <c r="S79" s="48" t="e">
        <f t="shared" si="22"/>
        <v>#REF!</v>
      </c>
      <c r="T79" s="56"/>
      <c r="U79" s="50">
        <f t="shared" si="24"/>
        <v>0</v>
      </c>
      <c r="V79" s="51"/>
    </row>
    <row r="80" spans="2:23" ht="13.5" x14ac:dyDescent="0.25">
      <c r="B80" s="40">
        <v>69</v>
      </c>
      <c r="C80" s="54" t="s">
        <v>168</v>
      </c>
      <c r="D80" s="55">
        <v>5</v>
      </c>
      <c r="E80" s="42">
        <v>25826</v>
      </c>
      <c r="F80" s="42">
        <f t="shared" si="14"/>
        <v>0</v>
      </c>
      <c r="G80" s="43">
        <v>10000</v>
      </c>
      <c r="H80" s="43">
        <v>2000</v>
      </c>
      <c r="I80" s="44">
        <f t="shared" si="15"/>
        <v>2.5825999999999998</v>
      </c>
      <c r="J80" s="44">
        <f t="shared" si="16"/>
        <v>0.77478000000000002</v>
      </c>
      <c r="K80" s="44">
        <f t="shared" si="17"/>
        <v>3.35738</v>
      </c>
      <c r="L80" s="44">
        <f t="shared" si="25"/>
        <v>2.6859040000000003</v>
      </c>
      <c r="M80" s="45" t="s">
        <v>65</v>
      </c>
      <c r="N80" s="52" t="e">
        <f t="shared" si="18"/>
        <v>#REF!</v>
      </c>
      <c r="O80" s="47">
        <f t="shared" si="19"/>
        <v>0.14000000000000001</v>
      </c>
      <c r="P80" s="44" t="e">
        <f t="shared" si="20"/>
        <v>#REF!</v>
      </c>
      <c r="Q80" s="44" t="e">
        <f t="shared" si="23"/>
        <v>#REF!</v>
      </c>
      <c r="R80" s="44" t="e">
        <f t="shared" si="21"/>
        <v>#REF!</v>
      </c>
      <c r="S80" s="48" t="e">
        <f t="shared" si="22"/>
        <v>#REF!</v>
      </c>
      <c r="T80" s="56"/>
      <c r="U80" s="50">
        <f t="shared" si="24"/>
        <v>0</v>
      </c>
      <c r="V80" s="51"/>
    </row>
    <row r="81" spans="2:22" ht="13.5" x14ac:dyDescent="0.25">
      <c r="B81" s="40">
        <v>70</v>
      </c>
      <c r="C81" s="54" t="s">
        <v>181</v>
      </c>
      <c r="D81" s="55"/>
      <c r="E81" s="42">
        <f>2298.60344659589*1.3</f>
        <v>2988.1844805746573</v>
      </c>
      <c r="F81" s="42">
        <f t="shared" si="14"/>
        <v>0</v>
      </c>
      <c r="G81" s="43">
        <v>10000</v>
      </c>
      <c r="H81" s="43">
        <v>2000</v>
      </c>
      <c r="I81" s="44">
        <f t="shared" si="15"/>
        <v>0.29881844805746571</v>
      </c>
      <c r="J81" s="44">
        <f t="shared" si="16"/>
        <v>8.9645534417239714E-2</v>
      </c>
      <c r="K81" s="44">
        <f t="shared" si="17"/>
        <v>0.38846398247470543</v>
      </c>
      <c r="L81" s="44">
        <f t="shared" si="25"/>
        <v>0.31077118597976439</v>
      </c>
      <c r="M81" s="45"/>
      <c r="N81" s="52">
        <f t="shared" si="18"/>
        <v>0</v>
      </c>
      <c r="O81" s="47">
        <f t="shared" si="19"/>
        <v>0.14000000000000001</v>
      </c>
      <c r="P81" s="44">
        <f t="shared" si="20"/>
        <v>0</v>
      </c>
      <c r="Q81" s="44">
        <f t="shared" si="23"/>
        <v>0</v>
      </c>
      <c r="R81" s="44">
        <f t="shared" si="21"/>
        <v>0</v>
      </c>
      <c r="S81" s="48">
        <f t="shared" si="22"/>
        <v>0.69923516845446976</v>
      </c>
      <c r="T81" s="56"/>
      <c r="U81" s="50">
        <f t="shared" si="24"/>
        <v>0</v>
      </c>
      <c r="V81" s="51"/>
    </row>
    <row r="82" spans="2:22" ht="13.5" x14ac:dyDescent="0.25">
      <c r="B82" s="40">
        <v>71</v>
      </c>
      <c r="C82" s="54" t="s">
        <v>182</v>
      </c>
      <c r="D82" s="55"/>
      <c r="E82" s="42">
        <f>19827.7115135861*1.3</f>
        <v>25776.024967661928</v>
      </c>
      <c r="F82" s="42">
        <f>E82*0.2</f>
        <v>5155.2049935323857</v>
      </c>
      <c r="G82" s="43">
        <v>10000</v>
      </c>
      <c r="H82" s="43">
        <v>2000</v>
      </c>
      <c r="I82" s="44">
        <f t="shared" si="15"/>
        <v>2.0620819974129545</v>
      </c>
      <c r="J82" s="44">
        <f t="shared" si="16"/>
        <v>0.77328074902985777</v>
      </c>
      <c r="K82" s="44">
        <f t="shared" si="17"/>
        <v>2.8353627464428124</v>
      </c>
      <c r="L82" s="44">
        <f t="shared" si="25"/>
        <v>2.2682901971542502</v>
      </c>
      <c r="M82" s="45"/>
      <c r="N82" s="52">
        <f t="shared" si="18"/>
        <v>0</v>
      </c>
      <c r="O82" s="47">
        <f t="shared" si="19"/>
        <v>0.14000000000000001</v>
      </c>
      <c r="P82" s="44">
        <f t="shared" si="20"/>
        <v>0</v>
      </c>
      <c r="Q82" s="44">
        <f t="shared" si="23"/>
        <v>0</v>
      </c>
      <c r="R82" s="44">
        <f t="shared" si="21"/>
        <v>0</v>
      </c>
      <c r="S82" s="48">
        <f t="shared" si="22"/>
        <v>5.1036529435970621</v>
      </c>
      <c r="T82" s="56"/>
      <c r="U82" s="50">
        <f t="shared" si="24"/>
        <v>0</v>
      </c>
      <c r="V82" s="51"/>
    </row>
    <row r="83" spans="2:22" ht="13.5" x14ac:dyDescent="0.25">
      <c r="B83" s="40">
        <v>72</v>
      </c>
      <c r="C83" s="54"/>
      <c r="D83" s="55"/>
      <c r="E83" s="42">
        <v>0</v>
      </c>
      <c r="F83" s="42">
        <f>E83*0.2</f>
        <v>0</v>
      </c>
      <c r="G83" s="43">
        <v>10000</v>
      </c>
      <c r="H83" s="43">
        <v>2000</v>
      </c>
      <c r="I83" s="44">
        <f t="shared" si="15"/>
        <v>0</v>
      </c>
      <c r="J83" s="44">
        <f t="shared" si="16"/>
        <v>0</v>
      </c>
      <c r="K83" s="44">
        <f t="shared" si="17"/>
        <v>0</v>
      </c>
      <c r="L83" s="44">
        <f t="shared" si="25"/>
        <v>0</v>
      </c>
      <c r="M83" s="45"/>
      <c r="N83" s="52">
        <f t="shared" si="18"/>
        <v>0</v>
      </c>
      <c r="O83" s="47">
        <f t="shared" si="19"/>
        <v>0.14000000000000001</v>
      </c>
      <c r="P83" s="44">
        <f t="shared" si="20"/>
        <v>0</v>
      </c>
      <c r="Q83" s="44">
        <f t="shared" si="23"/>
        <v>0</v>
      </c>
      <c r="R83" s="44">
        <f t="shared" si="21"/>
        <v>0</v>
      </c>
      <c r="S83" s="48">
        <f t="shared" si="22"/>
        <v>0</v>
      </c>
      <c r="T83" s="56"/>
      <c r="U83" s="50">
        <f t="shared" si="24"/>
        <v>0</v>
      </c>
      <c r="V83" s="51"/>
    </row>
    <row r="84" spans="2:22" ht="13.5" x14ac:dyDescent="0.25">
      <c r="B84" s="58">
        <v>73</v>
      </c>
      <c r="C84" s="59"/>
      <c r="D84" s="58"/>
      <c r="E84" s="60">
        <v>0</v>
      </c>
      <c r="F84" s="60">
        <f>E84*0.2</f>
        <v>0</v>
      </c>
      <c r="G84" s="61">
        <v>10000</v>
      </c>
      <c r="H84" s="61">
        <v>2000</v>
      </c>
      <c r="I84" s="62">
        <f t="shared" si="15"/>
        <v>0</v>
      </c>
      <c r="J84" s="62">
        <f t="shared" si="16"/>
        <v>0</v>
      </c>
      <c r="K84" s="62">
        <f t="shared" si="17"/>
        <v>0</v>
      </c>
      <c r="L84" s="62">
        <f t="shared" si="25"/>
        <v>0</v>
      </c>
      <c r="M84" s="63"/>
      <c r="N84" s="64">
        <f t="shared" si="18"/>
        <v>0</v>
      </c>
      <c r="O84" s="65">
        <f t="shared" si="19"/>
        <v>0.14000000000000001</v>
      </c>
      <c r="P84" s="62">
        <f t="shared" si="20"/>
        <v>0</v>
      </c>
      <c r="Q84" s="62">
        <f t="shared" si="23"/>
        <v>0</v>
      </c>
      <c r="R84" s="62">
        <f t="shared" si="21"/>
        <v>0</v>
      </c>
      <c r="S84" s="66">
        <f t="shared" si="22"/>
        <v>0</v>
      </c>
      <c r="T84" s="67"/>
      <c r="U84" s="50">
        <f t="shared" si="24"/>
        <v>0</v>
      </c>
      <c r="V84" s="51"/>
    </row>
    <row r="85" spans="2:22" x14ac:dyDescent="0.2">
      <c r="U85" s="68"/>
      <c r="V85" s="68"/>
    </row>
    <row r="86" spans="2:22" x14ac:dyDescent="0.2">
      <c r="U86" s="68"/>
      <c r="V86" s="68"/>
    </row>
    <row r="87" spans="2:22" x14ac:dyDescent="0.2">
      <c r="B87" s="69" t="s">
        <v>169</v>
      </c>
      <c r="C87" s="70" t="s">
        <v>170</v>
      </c>
      <c r="E87" s="49"/>
      <c r="F87" s="71" t="s">
        <v>171</v>
      </c>
      <c r="G87" s="72" t="e">
        <f>+#REF!</f>
        <v>#REF!</v>
      </c>
      <c r="H87" s="73"/>
      <c r="I87" s="73" t="s">
        <v>172</v>
      </c>
      <c r="K87" s="74">
        <v>0</v>
      </c>
      <c r="N87" s="11" t="s">
        <v>173</v>
      </c>
      <c r="O87">
        <v>0.14000000000000001</v>
      </c>
      <c r="U87" s="68"/>
      <c r="V87" s="68"/>
    </row>
    <row r="88" spans="2:22" x14ac:dyDescent="0.2">
      <c r="B88" s="69" t="s">
        <v>174</v>
      </c>
      <c r="C88" s="70" t="s">
        <v>175</v>
      </c>
      <c r="F88" s="75" t="s">
        <v>176</v>
      </c>
      <c r="G88" s="76" t="e">
        <f>+#REF!</f>
        <v>#REF!</v>
      </c>
      <c r="I88" t="s">
        <v>177</v>
      </c>
      <c r="K88" s="74">
        <v>0.5</v>
      </c>
      <c r="M88" s="11"/>
      <c r="N88" s="11" t="s">
        <v>178</v>
      </c>
      <c r="O88" s="77">
        <v>0.2</v>
      </c>
      <c r="P88" t="s">
        <v>179</v>
      </c>
    </row>
    <row r="89" spans="2:22" x14ac:dyDescent="0.2">
      <c r="B89" s="78" t="s">
        <v>180</v>
      </c>
      <c r="C89" s="79">
        <v>0.12</v>
      </c>
    </row>
    <row r="91" spans="2:22" x14ac:dyDescent="0.2">
      <c r="C91" s="70"/>
    </row>
    <row r="95" spans="2:22" x14ac:dyDescent="0.2">
      <c r="B95" t="s">
        <v>490</v>
      </c>
      <c r="C95" t="s">
        <v>1952</v>
      </c>
      <c r="D95">
        <v>1077904.8344000001</v>
      </c>
      <c r="E95">
        <v>10000</v>
      </c>
      <c r="F95">
        <v>87</v>
      </c>
      <c r="G95" s="12">
        <v>4.9800000000000004</v>
      </c>
      <c r="H95" s="12">
        <v>0.122</v>
      </c>
      <c r="I95">
        <v>50.45</v>
      </c>
      <c r="J95">
        <v>36.36</v>
      </c>
      <c r="K95">
        <v>32.650252445</v>
      </c>
      <c r="L95">
        <v>23.899984789740003</v>
      </c>
      <c r="M95">
        <v>6.5300500000000001</v>
      </c>
      <c r="N95">
        <v>64.989000000000004</v>
      </c>
      <c r="O95">
        <v>19.496700000000001</v>
      </c>
      <c r="P95">
        <v>19.590151466999998</v>
      </c>
      <c r="Q95">
        <v>86.81</v>
      </c>
      <c r="R95">
        <v>253.96613870174002</v>
      </c>
    </row>
    <row r="96" spans="2:22" x14ac:dyDescent="0.2">
      <c r="B96" t="s">
        <v>493</v>
      </c>
      <c r="C96" t="s">
        <v>1953</v>
      </c>
      <c r="D96">
        <v>1644458.5094000001</v>
      </c>
      <c r="E96">
        <v>10000</v>
      </c>
      <c r="F96">
        <v>180</v>
      </c>
      <c r="G96" s="12">
        <v>4.9800000000000004</v>
      </c>
      <c r="H96" s="12">
        <v>0.122</v>
      </c>
      <c r="I96">
        <v>50.45</v>
      </c>
      <c r="J96">
        <v>36.36</v>
      </c>
      <c r="K96">
        <v>48.531313364999995</v>
      </c>
      <c r="L96">
        <v>35.524921383179993</v>
      </c>
      <c r="M96">
        <v>9.7062650000000001</v>
      </c>
      <c r="N96">
        <v>134.46</v>
      </c>
      <c r="O96">
        <v>40.338000000000001</v>
      </c>
      <c r="P96">
        <v>29.118788018999997</v>
      </c>
      <c r="Q96">
        <v>86.81</v>
      </c>
      <c r="R96">
        <v>384.48928776718003</v>
      </c>
    </row>
    <row r="97" spans="2:18" x14ac:dyDescent="0.2">
      <c r="B97" t="s">
        <v>497</v>
      </c>
      <c r="C97" t="s">
        <v>1954</v>
      </c>
      <c r="D97">
        <v>1183888.31</v>
      </c>
      <c r="E97">
        <v>10000</v>
      </c>
      <c r="F97">
        <v>140</v>
      </c>
      <c r="G97" s="12">
        <v>4.9800000000000004</v>
      </c>
      <c r="H97" s="12">
        <v>0.122</v>
      </c>
      <c r="I97">
        <v>50.45</v>
      </c>
      <c r="J97">
        <v>36.36</v>
      </c>
      <c r="K97">
        <v>34.582150499999997</v>
      </c>
      <c r="L97">
        <v>25.314134165999999</v>
      </c>
      <c r="M97">
        <v>6.9164300000000001</v>
      </c>
      <c r="N97">
        <v>104.58</v>
      </c>
      <c r="O97">
        <v>31.373999999999999</v>
      </c>
      <c r="P97">
        <v>20.749290299999998</v>
      </c>
      <c r="Q97">
        <v>86.81</v>
      </c>
      <c r="R97">
        <v>310.32600496600003</v>
      </c>
    </row>
    <row r="98" spans="2:18" x14ac:dyDescent="0.2">
      <c r="B98" t="s">
        <v>501</v>
      </c>
      <c r="C98" t="s">
        <v>1955</v>
      </c>
      <c r="D98">
        <v>1495395.3026000001</v>
      </c>
      <c r="E98">
        <v>10000</v>
      </c>
      <c r="F98">
        <v>140</v>
      </c>
      <c r="G98" s="12">
        <v>4.9800000000000004</v>
      </c>
      <c r="H98" s="12">
        <v>0.122</v>
      </c>
      <c r="I98">
        <v>50.45</v>
      </c>
      <c r="K98">
        <v>43.994882850000003</v>
      </c>
      <c r="L98">
        <v>32.204254246200001</v>
      </c>
      <c r="M98">
        <v>8.7989750000000004</v>
      </c>
      <c r="N98">
        <v>104.58</v>
      </c>
      <c r="O98">
        <v>31.373999999999999</v>
      </c>
      <c r="P98">
        <v>26.396929710000002</v>
      </c>
      <c r="Q98">
        <v>50.45</v>
      </c>
      <c r="R98">
        <v>297.79904180620002</v>
      </c>
    </row>
    <row r="99" spans="2:18" x14ac:dyDescent="0.2">
      <c r="B99" t="s">
        <v>504</v>
      </c>
      <c r="C99" t="s">
        <v>1956</v>
      </c>
      <c r="D99">
        <v>905341.65</v>
      </c>
      <c r="E99">
        <v>10000</v>
      </c>
      <c r="F99">
        <v>70</v>
      </c>
      <c r="G99" s="12">
        <v>4.9800000000000004</v>
      </c>
      <c r="H99" s="12">
        <v>0.122</v>
      </c>
      <c r="I99">
        <v>50.45</v>
      </c>
      <c r="K99">
        <v>26.137088500000001</v>
      </c>
      <c r="L99">
        <v>19.132348782000001</v>
      </c>
      <c r="M99">
        <v>5.2274200000000004</v>
      </c>
      <c r="N99">
        <v>52.29</v>
      </c>
      <c r="O99">
        <v>15.686999999999999</v>
      </c>
      <c r="P99">
        <v>15.682253100000001</v>
      </c>
      <c r="Q99">
        <v>50.45</v>
      </c>
      <c r="R99">
        <v>184.606110382</v>
      </c>
    </row>
    <row r="100" spans="2:18" x14ac:dyDescent="0.2">
      <c r="B100" t="s">
        <v>508</v>
      </c>
      <c r="C100" t="s">
        <v>1957</v>
      </c>
      <c r="D100">
        <v>1215418.18</v>
      </c>
      <c r="E100">
        <v>10000</v>
      </c>
      <c r="F100">
        <v>120</v>
      </c>
      <c r="G100" s="12">
        <v>4.9800000000000004</v>
      </c>
      <c r="H100" s="12">
        <v>0.122</v>
      </c>
      <c r="I100">
        <v>50.45</v>
      </c>
      <c r="K100">
        <v>35.622772999999995</v>
      </c>
      <c r="L100">
        <v>26.075869835999995</v>
      </c>
      <c r="M100">
        <v>7.124555</v>
      </c>
      <c r="N100">
        <v>89.64</v>
      </c>
      <c r="O100">
        <v>26.891999999999999</v>
      </c>
      <c r="P100">
        <v>21.373663799999996</v>
      </c>
      <c r="Q100">
        <v>50.45</v>
      </c>
      <c r="R100">
        <v>257.17886163600002</v>
      </c>
    </row>
    <row r="101" spans="2:18" x14ac:dyDescent="0.2">
      <c r="B101" t="s">
        <v>511</v>
      </c>
      <c r="C101" t="s">
        <v>1958</v>
      </c>
      <c r="D101">
        <v>1682663.18</v>
      </c>
      <c r="E101">
        <v>10000</v>
      </c>
      <c r="F101">
        <v>240</v>
      </c>
      <c r="G101" s="12">
        <v>4.9800000000000004</v>
      </c>
      <c r="H101" s="12">
        <v>0.122</v>
      </c>
      <c r="I101">
        <v>50.45</v>
      </c>
      <c r="J101">
        <v>36.36</v>
      </c>
      <c r="K101">
        <v>49.428090000000005</v>
      </c>
      <c r="L101">
        <v>36.181361879999997</v>
      </c>
      <c r="M101">
        <v>9.8856200000000012</v>
      </c>
      <c r="N101">
        <v>179.28</v>
      </c>
      <c r="O101">
        <v>53.783999999999999</v>
      </c>
      <c r="P101">
        <v>29.656854000000003</v>
      </c>
      <c r="Q101">
        <v>86.81</v>
      </c>
      <c r="R101">
        <v>445.02592587999999</v>
      </c>
    </row>
    <row r="102" spans="2:18" x14ac:dyDescent="0.2">
      <c r="B102" t="s">
        <v>519</v>
      </c>
      <c r="C102" t="s">
        <v>1959</v>
      </c>
      <c r="D102">
        <v>2359067.8964</v>
      </c>
      <c r="E102">
        <v>10000</v>
      </c>
      <c r="F102">
        <v>200</v>
      </c>
      <c r="G102" s="12">
        <v>4.9800000000000004</v>
      </c>
      <c r="H102" s="12">
        <v>0.122</v>
      </c>
      <c r="I102">
        <v>50.45</v>
      </c>
      <c r="K102">
        <v>65.645165009999999</v>
      </c>
      <c r="L102">
        <v>48.052260787319995</v>
      </c>
      <c r="M102">
        <v>13.129035</v>
      </c>
      <c r="N102">
        <v>149.4</v>
      </c>
      <c r="O102">
        <v>44.82</v>
      </c>
      <c r="P102">
        <v>39.387099006</v>
      </c>
      <c r="Q102">
        <v>50.45</v>
      </c>
      <c r="R102">
        <v>410.88355980332</v>
      </c>
    </row>
    <row r="103" spans="2:18" x14ac:dyDescent="0.2">
      <c r="B103" t="s">
        <v>613</v>
      </c>
      <c r="C103" t="s">
        <v>614</v>
      </c>
      <c r="D103">
        <v>221117.82810000001</v>
      </c>
      <c r="E103">
        <v>10000</v>
      </c>
      <c r="F103">
        <v>200</v>
      </c>
      <c r="G103" s="12">
        <v>4.9800000000000004</v>
      </c>
      <c r="H103" s="12">
        <v>0.122</v>
      </c>
      <c r="I103">
        <v>50.45</v>
      </c>
      <c r="K103">
        <v>7.0243854999999993</v>
      </c>
      <c r="L103">
        <v>5.1418501860000001</v>
      </c>
      <c r="M103">
        <v>1.4048750000000001</v>
      </c>
      <c r="N103">
        <v>149.4</v>
      </c>
      <c r="O103">
        <v>44.82</v>
      </c>
      <c r="P103">
        <v>4.2146312999999997</v>
      </c>
      <c r="Q103">
        <v>50.45</v>
      </c>
      <c r="R103">
        <v>262.45574198600002</v>
      </c>
    </row>
    <row r="104" spans="2:18" x14ac:dyDescent="0.2">
      <c r="B104" t="s">
        <v>622</v>
      </c>
      <c r="C104" t="s">
        <v>1960</v>
      </c>
      <c r="D104">
        <v>1517985.6</v>
      </c>
      <c r="E104">
        <v>10000</v>
      </c>
      <c r="F104">
        <v>90</v>
      </c>
      <c r="G104" s="12">
        <v>4.9800000000000004</v>
      </c>
      <c r="H104" s="12">
        <v>0.122</v>
      </c>
      <c r="I104">
        <v>50.45</v>
      </c>
      <c r="J104">
        <v>36.36</v>
      </c>
      <c r="K104">
        <v>44.791825000000003</v>
      </c>
      <c r="L104">
        <v>32.787615899999999</v>
      </c>
      <c r="M104">
        <v>8.9583650000000006</v>
      </c>
      <c r="N104">
        <v>67.23</v>
      </c>
      <c r="O104">
        <v>20.169</v>
      </c>
      <c r="P104">
        <v>26.875095000000002</v>
      </c>
      <c r="Q104">
        <v>86.81</v>
      </c>
      <c r="R104">
        <v>287.62190090000001</v>
      </c>
    </row>
    <row r="105" spans="2:18" x14ac:dyDescent="0.2">
      <c r="B105" t="s">
        <v>515</v>
      </c>
      <c r="C105" t="s">
        <v>1961</v>
      </c>
      <c r="D105">
        <v>685418.77</v>
      </c>
      <c r="E105">
        <v>10000</v>
      </c>
      <c r="F105">
        <v>60</v>
      </c>
      <c r="G105" s="12">
        <v>4.9800000000000004</v>
      </c>
      <c r="H105" s="12">
        <v>0.122</v>
      </c>
      <c r="I105">
        <v>50.45</v>
      </c>
      <c r="K105">
        <v>19.037852999999998</v>
      </c>
      <c r="L105">
        <v>13.935708395999999</v>
      </c>
      <c r="M105">
        <v>3.8075700000000001</v>
      </c>
      <c r="N105">
        <v>44.82</v>
      </c>
      <c r="O105">
        <v>13.446</v>
      </c>
      <c r="P105">
        <v>11.422711799999998</v>
      </c>
      <c r="Q105">
        <v>50.45</v>
      </c>
      <c r="R105">
        <v>156.91984319599999</v>
      </c>
    </row>
    <row r="106" spans="2:18" x14ac:dyDescent="0.2">
      <c r="B106" t="s">
        <v>1200</v>
      </c>
      <c r="C106" t="s">
        <v>1962</v>
      </c>
      <c r="D106">
        <v>5084960</v>
      </c>
      <c r="E106">
        <v>10000</v>
      </c>
      <c r="F106">
        <v>240</v>
      </c>
      <c r="G106" s="12">
        <v>4.9800000000000004</v>
      </c>
      <c r="H106" s="12">
        <v>0.122</v>
      </c>
      <c r="I106">
        <v>50.45</v>
      </c>
      <c r="K106">
        <v>141.49785</v>
      </c>
      <c r="L106">
        <v>103.5764262</v>
      </c>
      <c r="M106">
        <v>28.299569999999999</v>
      </c>
      <c r="N106">
        <v>179.28</v>
      </c>
      <c r="O106">
        <v>53.783999999999999</v>
      </c>
      <c r="P106">
        <v>84.898709999999994</v>
      </c>
      <c r="Q106">
        <v>50.45</v>
      </c>
      <c r="R106">
        <v>641.78655619999995</v>
      </c>
    </row>
    <row r="107" spans="2:18" x14ac:dyDescent="0.2">
      <c r="D107" t="s">
        <v>1963</v>
      </c>
    </row>
    <row r="109" spans="2:18" x14ac:dyDescent="0.2">
      <c r="B109" t="s">
        <v>806</v>
      </c>
      <c r="C109" t="s">
        <v>807</v>
      </c>
      <c r="D109" t="s">
        <v>479</v>
      </c>
      <c r="E109">
        <v>74.260000000000005</v>
      </c>
    </row>
    <row r="110" spans="2:18" x14ac:dyDescent="0.2">
      <c r="B110" t="s">
        <v>810</v>
      </c>
      <c r="C110" t="s">
        <v>811</v>
      </c>
      <c r="D110" t="s">
        <v>479</v>
      </c>
      <c r="E110">
        <v>63.28</v>
      </c>
    </row>
    <row r="111" spans="2:18" x14ac:dyDescent="0.2">
      <c r="B111" t="s">
        <v>813</v>
      </c>
      <c r="C111" t="s">
        <v>814</v>
      </c>
      <c r="D111" t="s">
        <v>479</v>
      </c>
      <c r="E111">
        <v>58.34</v>
      </c>
    </row>
    <row r="112" spans="2:18" x14ac:dyDescent="0.2">
      <c r="B112" t="s">
        <v>815</v>
      </c>
      <c r="C112" t="s">
        <v>816</v>
      </c>
      <c r="D112" t="s">
        <v>479</v>
      </c>
      <c r="E112">
        <v>53.57</v>
      </c>
    </row>
    <row r="113" spans="2:5" x14ac:dyDescent="0.2">
      <c r="B113" t="s">
        <v>817</v>
      </c>
      <c r="C113" t="s">
        <v>818</v>
      </c>
      <c r="D113" t="s">
        <v>479</v>
      </c>
      <c r="E113">
        <v>54.11</v>
      </c>
    </row>
    <row r="114" spans="2:5" x14ac:dyDescent="0.2">
      <c r="B114" t="s">
        <v>819</v>
      </c>
      <c r="C114" t="s">
        <v>820</v>
      </c>
      <c r="D114" t="s">
        <v>479</v>
      </c>
      <c r="E114">
        <v>49.3</v>
      </c>
    </row>
    <row r="115" spans="2:5" x14ac:dyDescent="0.2">
      <c r="B115" t="s">
        <v>821</v>
      </c>
      <c r="C115" t="s">
        <v>822</v>
      </c>
      <c r="D115" t="s">
        <v>479</v>
      </c>
      <c r="E115">
        <v>57.29</v>
      </c>
    </row>
    <row r="116" spans="2:5" x14ac:dyDescent="0.2">
      <c r="B116" t="s">
        <v>823</v>
      </c>
      <c r="C116" t="s">
        <v>824</v>
      </c>
      <c r="D116" t="s">
        <v>479</v>
      </c>
      <c r="E116">
        <v>63.11</v>
      </c>
    </row>
    <row r="118" spans="2:5" x14ac:dyDescent="0.2">
      <c r="B118" t="s">
        <v>488</v>
      </c>
      <c r="C118" t="s">
        <v>489</v>
      </c>
      <c r="D118" t="s">
        <v>301</v>
      </c>
      <c r="E118">
        <v>7.32</v>
      </c>
    </row>
  </sheetData>
  <customSheetViews>
    <customSheetView guid="{81A9D82B-B4EE-45EA-927A-EDADB303A766}" state="hidden">
      <selection activeCell="L6" sqref="L6"/>
      <pageMargins left="0.75" right="0.75" top="1" bottom="1" header="0" footer="0"/>
      <headerFooter alignWithMargins="0"/>
    </customSheetView>
  </customSheetViews>
  <mergeCells count="2">
    <mergeCell ref="I8:K8"/>
    <mergeCell ref="M8:P8"/>
  </mergeCells>
  <phoneticPr fontId="13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B5:G21"/>
  <sheetViews>
    <sheetView workbookViewId="0">
      <selection activeCell="G25" sqref="G25"/>
    </sheetView>
  </sheetViews>
  <sheetFormatPr baseColWidth="10" defaultColWidth="9.140625" defaultRowHeight="12.75" x14ac:dyDescent="0.2"/>
  <cols>
    <col min="1" max="256" width="11.42578125" customWidth="1"/>
  </cols>
  <sheetData>
    <row r="5" spans="2:7" x14ac:dyDescent="0.2">
      <c r="B5" s="9" t="s">
        <v>202</v>
      </c>
      <c r="C5" s="80"/>
      <c r="D5" s="80"/>
      <c r="E5" s="80"/>
      <c r="F5" s="80"/>
      <c r="G5" s="80"/>
    </row>
    <row r="6" spans="2:7" x14ac:dyDescent="0.2">
      <c r="B6" s="81"/>
      <c r="C6" s="81"/>
      <c r="D6" s="81"/>
      <c r="E6" s="81"/>
      <c r="F6" s="81"/>
      <c r="G6" s="81"/>
    </row>
    <row r="7" spans="2:7" x14ac:dyDescent="0.2">
      <c r="B7" s="82" t="s">
        <v>203</v>
      </c>
      <c r="C7" s="83"/>
      <c r="D7" s="84"/>
      <c r="E7" s="83"/>
      <c r="F7" s="85" t="s">
        <v>204</v>
      </c>
      <c r="G7" s="86">
        <v>1</v>
      </c>
    </row>
    <row r="8" spans="2:7" x14ac:dyDescent="0.2">
      <c r="B8" s="82"/>
      <c r="C8" s="83"/>
      <c r="D8" s="84"/>
      <c r="E8" s="83"/>
      <c r="F8" s="85"/>
      <c r="G8" s="86"/>
    </row>
    <row r="9" spans="2:7" x14ac:dyDescent="0.2">
      <c r="B9" s="82" t="s">
        <v>205</v>
      </c>
      <c r="C9" s="83"/>
      <c r="D9" s="84">
        <v>0.1</v>
      </c>
      <c r="E9" s="83"/>
      <c r="F9" s="85" t="s">
        <v>206</v>
      </c>
      <c r="G9" s="86">
        <f>+G7*D9</f>
        <v>0.1</v>
      </c>
    </row>
    <row r="10" spans="2:7" x14ac:dyDescent="0.2">
      <c r="B10" s="82"/>
      <c r="C10" s="83"/>
      <c r="D10" s="84"/>
      <c r="E10" s="83"/>
      <c r="F10" s="85"/>
      <c r="G10" s="86"/>
    </row>
    <row r="11" spans="2:7" x14ac:dyDescent="0.2">
      <c r="B11" s="82" t="s">
        <v>207</v>
      </c>
      <c r="C11" s="83"/>
      <c r="D11" s="84">
        <v>0.1</v>
      </c>
      <c r="E11" s="83"/>
      <c r="F11" s="85" t="s">
        <v>208</v>
      </c>
      <c r="G11" s="86">
        <f>+G7*D11</f>
        <v>0.1</v>
      </c>
    </row>
    <row r="12" spans="2:7" x14ac:dyDescent="0.2">
      <c r="B12" s="82"/>
      <c r="C12" s="83"/>
      <c r="D12" s="84"/>
      <c r="E12" s="83"/>
      <c r="F12" s="87"/>
      <c r="G12" s="88"/>
    </row>
    <row r="13" spans="2:7" x14ac:dyDescent="0.2">
      <c r="B13" s="89" t="s">
        <v>209</v>
      </c>
      <c r="C13" s="83"/>
      <c r="D13" s="84"/>
      <c r="E13" s="83"/>
      <c r="F13" s="90" t="s">
        <v>210</v>
      </c>
      <c r="G13" s="91">
        <f>SUM(G7:G11)</f>
        <v>1.2000000000000002</v>
      </c>
    </row>
    <row r="14" spans="2:7" x14ac:dyDescent="0.2">
      <c r="B14" s="82"/>
      <c r="C14" s="83"/>
      <c r="D14" s="84"/>
      <c r="E14" s="83"/>
      <c r="F14" s="85"/>
      <c r="G14" s="86"/>
    </row>
    <row r="15" spans="2:7" x14ac:dyDescent="0.2">
      <c r="B15" s="82" t="s">
        <v>211</v>
      </c>
      <c r="C15" s="83"/>
      <c r="D15" s="84">
        <v>0.21</v>
      </c>
      <c r="E15" s="83"/>
      <c r="F15" s="85" t="s">
        <v>212</v>
      </c>
      <c r="G15" s="86">
        <f>ROUND(+G13*D15,4)</f>
        <v>0.252</v>
      </c>
    </row>
    <row r="16" spans="2:7" x14ac:dyDescent="0.2">
      <c r="B16" s="82"/>
      <c r="C16" s="83"/>
      <c r="D16" s="84"/>
      <c r="E16" s="83"/>
      <c r="F16" s="85"/>
      <c r="G16" s="86"/>
    </row>
    <row r="17" spans="2:7" x14ac:dyDescent="0.2">
      <c r="B17" s="82" t="s">
        <v>213</v>
      </c>
      <c r="C17" s="83"/>
      <c r="D17" s="84"/>
      <c r="E17" s="83"/>
      <c r="F17" s="85" t="s">
        <v>214</v>
      </c>
      <c r="G17" s="86">
        <f>ROUND(+G13*D17,4)</f>
        <v>0</v>
      </c>
    </row>
    <row r="18" spans="2:7" x14ac:dyDescent="0.2">
      <c r="B18" s="92"/>
      <c r="C18" s="93"/>
      <c r="D18" s="94"/>
      <c r="E18" s="93"/>
      <c r="F18" s="95"/>
      <c r="G18" s="96"/>
    </row>
    <row r="19" spans="2:7" x14ac:dyDescent="0.2">
      <c r="B19" s="97" t="s">
        <v>215</v>
      </c>
      <c r="C19" s="98"/>
      <c r="D19" s="99"/>
      <c r="E19" s="98"/>
      <c r="F19" s="98" t="s">
        <v>216</v>
      </c>
      <c r="G19" s="100">
        <f>+G13+G15+G17</f>
        <v>1.4520000000000002</v>
      </c>
    </row>
    <row r="20" spans="2:7" x14ac:dyDescent="0.2">
      <c r="B20" s="101"/>
      <c r="C20" s="102"/>
      <c r="D20" s="103"/>
      <c r="E20" s="102"/>
      <c r="F20" s="87"/>
      <c r="G20" s="88"/>
    </row>
    <row r="21" spans="2:7" x14ac:dyDescent="0.2">
      <c r="B21" s="97" t="s">
        <v>217</v>
      </c>
      <c r="C21" s="98"/>
      <c r="D21" s="98"/>
      <c r="E21" s="98"/>
      <c r="F21" s="98" t="s">
        <v>218</v>
      </c>
      <c r="G21" s="100">
        <f>+G19/G7</f>
        <v>1.4520000000000002</v>
      </c>
    </row>
  </sheetData>
  <customSheetViews>
    <customSheetView guid="{81A9D82B-B4EE-45EA-927A-EDADB303A766}" state="hidden">
      <selection activeCell="D12" sqref="D12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CyP</vt:lpstr>
      <vt:lpstr>COMPUTO METRICO</vt:lpstr>
      <vt:lpstr>Presupuesto</vt:lpstr>
      <vt:lpstr>HORMIGON</vt:lpstr>
      <vt:lpstr>ADOQUIN</vt:lpstr>
      <vt:lpstr>ENRIPIADO - ENERO 2013 </vt:lpstr>
      <vt:lpstr>IN-12-11</vt:lpstr>
      <vt:lpstr>Equipos</vt:lpstr>
      <vt:lpstr>K</vt:lpstr>
      <vt:lpstr>Hoja2</vt:lpstr>
      <vt:lpstr>Hoja1</vt:lpstr>
      <vt:lpstr>ADOQUIN!Área_de_impresión</vt:lpstr>
      <vt:lpstr>'ENRIPIADO - ENERO 2013 '!Área_de_impresión</vt:lpstr>
      <vt:lpstr>HORMIGON!Área_de_impresión</vt:lpstr>
      <vt:lpstr>'IN-12-11'!Área_de_impresión</vt:lpstr>
      <vt:lpstr>CODIGO</vt:lpstr>
      <vt:lpstr>DESCRIPCION</vt:lpstr>
      <vt:lpstr>Fecha</vt:lpstr>
      <vt:lpstr>'IN-12-11'!Imprimir_títulos_IM</vt:lpstr>
      <vt:lpstr>Insumos</vt:lpstr>
      <vt:lpstr>PRECIO</vt:lpstr>
      <vt:lpstr>'IN-12-11'!Títulos_a_imprimir</vt:lpstr>
      <vt:lpstr>UN.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ARISPE</dc:creator>
  <cp:lastModifiedBy>operador</cp:lastModifiedBy>
  <cp:lastPrinted>2022-03-28T12:36:06Z</cp:lastPrinted>
  <dcterms:created xsi:type="dcterms:W3CDTF">2002-05-21T23:48:35Z</dcterms:created>
  <dcterms:modified xsi:type="dcterms:W3CDTF">2022-05-17T14:41:56Z</dcterms:modified>
</cp:coreProperties>
</file>